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75" windowWidth="17985" windowHeight="8550" activeTab="0"/>
  </bookViews>
  <sheets>
    <sheet name="Facility Information" sheetId="1" r:id="rId1"/>
    <sheet name="Facility Processes" sheetId="2" r:id="rId2"/>
    <sheet name="Permitted Diesel Engines" sheetId="3" r:id="rId3"/>
    <sheet name="Emission Calculations" sheetId="4" r:id="rId4"/>
    <sheet name="Facility Wide Emissions" sheetId="5" r:id="rId5"/>
    <sheet name="Emission Factors" sheetId="6" r:id="rId6"/>
  </sheets>
  <definedNames>
    <definedName name="apptype">'Facility Information'!$L$4:$L$5</definedName>
    <definedName name="aptype">'Facility Information'!$L$10:$L$11</definedName>
    <definedName name="CHS">'Facility Processes'!$A$17:$A$21</definedName>
    <definedName name="CHSCon">'Facility Processes'!#REF!</definedName>
    <definedName name="CHSControl">#REF!</definedName>
    <definedName name="CleanHandleStore">#REF!</definedName>
    <definedName name="Combust">'Facility Processes'!#REF!</definedName>
    <definedName name="Combustion">#REF!</definedName>
    <definedName name="Crushing">'Facility Processes'!$A$7:$A$19</definedName>
    <definedName name="Dryer">'Facility Processes'!$A$7:$A$12</definedName>
    <definedName name="Drying">#REF!</definedName>
    <definedName name="Employ">'Facility Information'!$L$7:$L$8</definedName>
    <definedName name="Fuel">'Facility Information'!$K$27:$K$30</definedName>
    <definedName name="FuelTypes">'Facility Information'!$K$27:$K$29</definedName>
    <definedName name="Gen">'Permitted Diesel Engines'!$N$8:$N$9</definedName>
    <definedName name="Generator">'Facility Processes'!$A$65:$A$77</definedName>
    <definedName name="Load">'Facility Processes'!$A$22:$A$24</definedName>
    <definedName name="LoadCon">'Facility Processes'!#REF!</definedName>
    <definedName name="Loading">'Facility Processes'!$A$23:$A$24</definedName>
    <definedName name="Loadout">#REF!</definedName>
    <definedName name="LoadoutControl">#REF!</definedName>
    <definedName name="NoEmploy">'Facility Information'!$K$15:$K$16</definedName>
    <definedName name="Plant">'Facility Information'!$K$35:$K$36</definedName>
    <definedName name="Processes">'Facility Processes'!$A$17:$A$19</definedName>
    <definedName name="Receive">'Facility Processes'!$A$25:$A$25</definedName>
    <definedName name="ReceiveCon">'Facility Processes'!#REF!</definedName>
    <definedName name="ReceiveControl">#REF!</definedName>
    <definedName name="Receiving">#REF!</definedName>
    <definedName name="RoadCon">'Facility Processes'!$A$26</definedName>
    <definedName name="Submit">'Facility Information'!$K$11:$K$12</definedName>
    <definedName name="Type">'Facility Information'!$K$27:$K$33</definedName>
    <definedName name="yesnno">'Facility Processes'!$A$51:$A$52</definedName>
    <definedName name="YesNO">'Facility Processes'!$A$38:$A$52</definedName>
    <definedName name="yn">'Facility Information'!$K$24:$K$25</definedName>
  </definedNames>
  <calcPr fullCalcOnLoad="1"/>
</workbook>
</file>

<file path=xl/comments2.xml><?xml version="1.0" encoding="utf-8"?>
<comments xmlns="http://schemas.openxmlformats.org/spreadsheetml/2006/main">
  <authors>
    <author>Jennifer Wittenburg</author>
  </authors>
  <commentList>
    <comment ref="I29" authorId="0">
      <text>
        <r>
          <rPr>
            <b/>
            <sz val="9"/>
            <rFont val="Tahoma"/>
            <family val="2"/>
          </rPr>
          <t xml:space="preserve">Maxiumum amount of material that can be hauled in one year.   </t>
        </r>
      </text>
    </comment>
    <comment ref="I56" authorId="0">
      <text>
        <r>
          <rPr>
            <b/>
            <sz val="9"/>
            <rFont val="Tahoma"/>
            <family val="2"/>
          </rPr>
          <t xml:space="preserve">Maxiumum amount of material that can be hauled in one year. </t>
        </r>
      </text>
    </comment>
    <comment ref="I42" authorId="0">
      <text>
        <r>
          <rPr>
            <b/>
            <sz val="9"/>
            <rFont val="Tahoma"/>
            <family val="2"/>
          </rPr>
          <t xml:space="preserve">Maxiumum amount of asphalt that can be hauled in one year.  This can be estimated using an operating limit from a construction permit or by the maximum hourly design rate of the facilty. </t>
        </r>
      </text>
    </comment>
    <comment ref="I68" authorId="0">
      <text>
        <r>
          <rPr>
            <b/>
            <sz val="9"/>
            <rFont val="Tahoma"/>
            <family val="2"/>
          </rPr>
          <t xml:space="preserve">Maxiumum amount of asphalt that can be hauled in one year.  This can be estimated using an operating limit from a construction permit or by the maximum hourly design rate of the facilty. </t>
        </r>
      </text>
    </comment>
  </commentList>
</comments>
</file>

<file path=xl/comments6.xml><?xml version="1.0" encoding="utf-8"?>
<comments xmlns="http://schemas.openxmlformats.org/spreadsheetml/2006/main">
  <authors>
    <author>Jennifer Wittenburg</author>
  </authors>
  <commentList>
    <comment ref="I45" authorId="0">
      <text>
        <r>
          <rPr>
            <b/>
            <sz val="9"/>
            <rFont val="Tahoma"/>
            <family val="2"/>
          </rPr>
          <t xml:space="preserve">Emission Factor is 1.01(S) </t>
        </r>
        <r>
          <rPr>
            <sz val="9"/>
            <rFont val="Tahoma"/>
            <family val="2"/>
          </rPr>
          <t xml:space="preserve">
Where S = the sulfur content of the fuel oil. </t>
        </r>
      </text>
    </comment>
  </commentList>
</comments>
</file>

<file path=xl/sharedStrings.xml><?xml version="1.0" encoding="utf-8"?>
<sst xmlns="http://schemas.openxmlformats.org/spreadsheetml/2006/main" count="762" uniqueCount="257">
  <si>
    <t>FACILITY NUMBER:</t>
  </si>
  <si>
    <t>MAILING ADDRESS:</t>
  </si>
  <si>
    <t>FACILITY CONTACT:</t>
  </si>
  <si>
    <t>PHONE NUMBER:</t>
  </si>
  <si>
    <t>FACILITY NAME:</t>
  </si>
  <si>
    <t>SIC CODE:</t>
  </si>
  <si>
    <t>NAICS CODE:</t>
  </si>
  <si>
    <t>ACTIVITY DESCRIPTION:</t>
  </si>
  <si>
    <t>Process</t>
  </si>
  <si>
    <t>Emission Point #</t>
  </si>
  <si>
    <t>Units</t>
  </si>
  <si>
    <t>SO2</t>
  </si>
  <si>
    <t>Nox</t>
  </si>
  <si>
    <t>VOC</t>
  </si>
  <si>
    <t>CO</t>
  </si>
  <si>
    <t>Formaldehyde</t>
  </si>
  <si>
    <t>SCC #</t>
  </si>
  <si>
    <t>Max Design Rate</t>
  </si>
  <si>
    <t>EP</t>
  </si>
  <si>
    <t>Description of Process</t>
  </si>
  <si>
    <t>Emission Factor</t>
  </si>
  <si>
    <t>Potential Annual Emissions (tons/yr)</t>
  </si>
  <si>
    <t>Control Efficiency</t>
  </si>
  <si>
    <t>PM2. 5</t>
  </si>
  <si>
    <t>PM10</t>
  </si>
  <si>
    <t>Actual Emissions (tons/yr)</t>
  </si>
  <si>
    <t>FACILITY-WIDE POTENTIAL EMISSIONS:</t>
  </si>
  <si>
    <t>FACILITY-WIDE ACTUAL EMISSIONS:</t>
  </si>
  <si>
    <t>Air Pollutant</t>
  </si>
  <si>
    <t>ID or CAS Number</t>
  </si>
  <si>
    <t>Tons/Yr</t>
  </si>
  <si>
    <t>PM-2.5</t>
  </si>
  <si>
    <t>PM-10</t>
  </si>
  <si>
    <t>7446-09-5</t>
  </si>
  <si>
    <t>NOx</t>
  </si>
  <si>
    <t>630-08-0</t>
  </si>
  <si>
    <t>50-00-0</t>
  </si>
  <si>
    <t>Total HAP</t>
  </si>
  <si>
    <t>FACILITY TOTALS:</t>
  </si>
  <si>
    <t>EMISSION YEAR:</t>
  </si>
  <si>
    <t>FACILITY ADDRESS:</t>
  </si>
  <si>
    <t>IA</t>
  </si>
  <si>
    <t>STATE:</t>
  </si>
  <si>
    <t>CITY:</t>
  </si>
  <si>
    <t>EMAIL ADDRESS:</t>
  </si>
  <si>
    <t>ZIP:</t>
  </si>
  <si>
    <t>PARENT COMPANY:</t>
  </si>
  <si>
    <t>PARENT COMPANY ADDRESS:</t>
  </si>
  <si>
    <t>PARENT COMPANY CONTACT:</t>
  </si>
  <si>
    <t>PLANT LOCATION:</t>
  </si>
  <si>
    <t>LATITUDE:</t>
  </si>
  <si>
    <t>LONGITUDE:</t>
  </si>
  <si>
    <t>Emission Unit Description</t>
  </si>
  <si>
    <t>Units of Measure</t>
  </si>
  <si>
    <t>NUMBER OF STATE-WIDE COMPANY EMPLOYEES:</t>
  </si>
  <si>
    <t>Unpaved Haul Road</t>
  </si>
  <si>
    <t>Average Vehicle Weight (tons)</t>
  </si>
  <si>
    <t>Empty (Unloaded)</t>
  </si>
  <si>
    <t>Full (Loaded)</t>
  </si>
  <si>
    <t>Annual Throughput (tons)</t>
  </si>
  <si>
    <t>Maximum</t>
  </si>
  <si>
    <t>Actual</t>
  </si>
  <si>
    <t>Percent of Miles that the Vehicles Travel While Empty (%):</t>
  </si>
  <si>
    <t>If vehicles travel the same distance empty and full, this number is should be entered as 50.</t>
  </si>
  <si>
    <r>
      <t xml:space="preserve">Average Vehicle Weight </t>
    </r>
    <r>
      <rPr>
        <b/>
        <sz val="8"/>
        <color indexed="8"/>
        <rFont val="Arial"/>
        <family val="2"/>
      </rPr>
      <t>(W)</t>
    </r>
    <r>
      <rPr>
        <sz val="8"/>
        <color indexed="8"/>
        <rFont val="Arial"/>
        <family val="2"/>
      </rPr>
      <t xml:space="preserve"> (tons):</t>
    </r>
  </si>
  <si>
    <t>Average weight of vehicles based on the distance traveled on site.</t>
  </si>
  <si>
    <t>Average Load Weight (tons):</t>
  </si>
  <si>
    <t>Average weight of full vehicle minus average weight of empty vehicle.</t>
  </si>
  <si>
    <t>Potential Annual One-Way Trips taken on road:</t>
  </si>
  <si>
    <t>Maximum Potential Annual Throughput divided by Average Load Weight.</t>
  </si>
  <si>
    <t>Actual Annual One-Way Trips taken on road:</t>
  </si>
  <si>
    <t>Actual Annual Throughput divided by Mean Vehicle Weight.</t>
  </si>
  <si>
    <r>
      <t>Road Surface Silt Loading (g/m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):</t>
    </r>
  </si>
  <si>
    <t xml:space="preserve">Enter the Year for which you are calculating emissions, usually the previous calendar year. </t>
  </si>
  <si>
    <t>&lt;---------</t>
  </si>
  <si>
    <t>Round Trip Length of Haul Road (miles)</t>
  </si>
  <si>
    <t>k=constant=1.5 for PM10 and 0.15 for PM2.5 (AP-42 Table 13.2.2-1)</t>
  </si>
  <si>
    <t>s= silt content (AP-42 Table 13.2.2-1)</t>
  </si>
  <si>
    <t>w= average vehicle weight</t>
  </si>
  <si>
    <t xml:space="preserve">Please fill in the yellow boxes as applicable for your facility. </t>
  </si>
  <si>
    <t>Days/Year with at Least 0.01 inches of Precipitation:</t>
  </si>
  <si>
    <t>YES</t>
  </si>
  <si>
    <t>NO</t>
  </si>
  <si>
    <t>Date of Construction</t>
  </si>
  <si>
    <t>Date of Installation</t>
  </si>
  <si>
    <t>Date of Modification</t>
  </si>
  <si>
    <t>Storage Piles</t>
  </si>
  <si>
    <t>Storage Pile</t>
  </si>
  <si>
    <t xml:space="preserve">Dates of Construction, Installation and Modification of Equipment (where applicable).  Enter a range of dates if you have more than one piece of equipment type listed. </t>
  </si>
  <si>
    <t>PM2.5 EF</t>
  </si>
  <si>
    <t>PM10 EF</t>
  </si>
  <si>
    <t>lbs/acre-day</t>
  </si>
  <si>
    <t>Permitted Diesel Engines</t>
  </si>
  <si>
    <t>Diesel Generators</t>
  </si>
  <si>
    <t>Diesel Generator &lt;or= 600 bhp</t>
  </si>
  <si>
    <t>Diesel Generator &gt; 600 bhp</t>
  </si>
  <si>
    <t>lb/MMBtu</t>
  </si>
  <si>
    <t>IDNR Memo</t>
  </si>
  <si>
    <t>Source</t>
  </si>
  <si>
    <t>AP-42 Table 3.3-1</t>
  </si>
  <si>
    <t xml:space="preserve">Source </t>
  </si>
  <si>
    <t>AP-42 Table 3.3-2</t>
  </si>
  <si>
    <t>AP-42 Table 3.4-1</t>
  </si>
  <si>
    <t>AP-42 Table 3.4-3</t>
  </si>
  <si>
    <t>Benzene</t>
  </si>
  <si>
    <t>WebFIRE</t>
  </si>
  <si>
    <t>Stack Height (ft)</t>
  </si>
  <si>
    <t>Stack Diameter (inches)</t>
  </si>
  <si>
    <t>Exhaust Flowrate (acfm)</t>
  </si>
  <si>
    <t>Exhaust Temp (Degree F)</t>
  </si>
  <si>
    <t>%</t>
  </si>
  <si>
    <t>Permit Number</t>
  </si>
  <si>
    <t>Emission Unit #</t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</si>
  <si>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</si>
  <si>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t>Gallons/Yr</t>
  </si>
  <si>
    <t>Unpaved Haul Roads</t>
  </si>
  <si>
    <t>Haul Roads</t>
  </si>
  <si>
    <t>SUBMITTAL TYPE:</t>
  </si>
  <si>
    <t>Emission Inventory - Initial</t>
  </si>
  <si>
    <t>Emission Inventory - Supplemental Information</t>
  </si>
  <si>
    <t>Less Than or Equal to 100</t>
  </si>
  <si>
    <t>Greater Than 100</t>
  </si>
  <si>
    <t>PERMIT OPERATING LIMITS:</t>
  </si>
  <si>
    <t>PERMIT EMISSION LIMITS:</t>
  </si>
  <si>
    <t>Annual Throughput Limit (tons/yr):</t>
  </si>
  <si>
    <t>Is a dust supressant used to control emissions?</t>
  </si>
  <si>
    <t xml:space="preserve">YES </t>
  </si>
  <si>
    <t>Facility Wide Annual Usage Limit:</t>
  </si>
  <si>
    <t>Please Note: IAC rule 23.3(3)"b" limits sulfur content in #1 and #2 fuel oil to 0.5%.</t>
  </si>
  <si>
    <t>Max Hourly Rate (MMBtu/hr)</t>
  </si>
  <si>
    <t>p = number of days per year with at least 0.01 inches of precipitation (see map - AP-42 3.2.2 Figure 1)</t>
  </si>
  <si>
    <t>&amp; footnote f</t>
  </si>
  <si>
    <t>Dust Supressant Control Effieciency = 40% (Iowa DNR)</t>
  </si>
  <si>
    <r>
      <t xml:space="preserve">Diesel Generator </t>
    </r>
    <r>
      <rPr>
        <sz val="11"/>
        <color indexed="8"/>
        <rFont val="Calibri"/>
        <family val="2"/>
      </rPr>
      <t xml:space="preserve">≤ </t>
    </r>
    <r>
      <rPr>
        <sz val="11"/>
        <color theme="1"/>
        <rFont val="Calibri"/>
        <family val="2"/>
      </rPr>
      <t>600 bhp</t>
    </r>
  </si>
  <si>
    <t>Diesel Generator&gt; 600 bhp</t>
  </si>
  <si>
    <t>&gt; 600 bhp</t>
  </si>
  <si>
    <t>≤ 600 bhp</t>
  </si>
  <si>
    <t>Percent Sulfur:</t>
  </si>
  <si>
    <t>Sulfur Content Limit:</t>
  </si>
  <si>
    <t>71-43-2</t>
  </si>
  <si>
    <t>FACILITY WIDE EMISSIONS SUMMARY:</t>
  </si>
  <si>
    <t>EMISSION CALCULATIONS</t>
  </si>
  <si>
    <t>EMISSION FACTORS</t>
  </si>
  <si>
    <t>FACILITY PROCESSES</t>
  </si>
  <si>
    <t>Potential Hourly Uncontrolled Emissions(lb/hr)</t>
  </si>
  <si>
    <t>Potential Hourly Controlled Emissions (lb/hr)</t>
  </si>
  <si>
    <t>Annual Throughput (MMBtu/yr)</t>
  </si>
  <si>
    <t>Hours/Yr Operating Limit</t>
  </si>
  <si>
    <t>Please fill in the yellow boxes.</t>
  </si>
  <si>
    <t>Daily Hours of Operation Limit (hours/day):</t>
  </si>
  <si>
    <t>Max Hourly Rate (gal/hr)</t>
  </si>
  <si>
    <t>Actual Sulfur Content of Fuel:</t>
  </si>
  <si>
    <t>Paved Haul Roads</t>
  </si>
  <si>
    <t>See Map - AP-42 Figure 13.2.1-2 for value.  100 may be entered as a default value.</t>
  </si>
  <si>
    <t>Emission Factor equation from AP-42, 13.2.2 (Nov 2006): EF = [(k) x [(s/12)^0.9] x [(W/3)^0.45] ]((365-p)/365)) lb/VMT</t>
  </si>
  <si>
    <t>Emission Factor equation from AP-42, 13.2.1 (Jan 2011): EF = [(k) x [(s^0.91] x [W^1.02]]x((1-(p/1460)) lb/VMT</t>
  </si>
  <si>
    <t>k=constant=0.0022 for PM10 and 0.00054 for PM2.5 (AP-42 Table 13.2.1-1)</t>
  </si>
  <si>
    <t>s= silt content (AP-42 Table 13.2.1-3)</t>
  </si>
  <si>
    <t>STATIONARY ASPHALT PLANT</t>
  </si>
  <si>
    <t>HOT MIX ASPHALT PLANT</t>
  </si>
  <si>
    <t>SO2:</t>
  </si>
  <si>
    <t>PM10:</t>
  </si>
  <si>
    <t>NOx:</t>
  </si>
  <si>
    <t>VOC:</t>
  </si>
  <si>
    <t>CO:</t>
  </si>
  <si>
    <t>LB/HR LIMIT</t>
  </si>
  <si>
    <t>TONS/YR LIMIT</t>
  </si>
  <si>
    <t>Ethylbenzene</t>
  </si>
  <si>
    <t>Hexane</t>
  </si>
  <si>
    <t>Methyl Chloroform</t>
  </si>
  <si>
    <t>Toluene</t>
  </si>
  <si>
    <t>Xylene</t>
  </si>
  <si>
    <t>2,2,4-Trimethylpentane</t>
  </si>
  <si>
    <t>Nickel Compounds</t>
  </si>
  <si>
    <t>Aggregate Transfer</t>
  </si>
  <si>
    <t>lbs/ton</t>
  </si>
  <si>
    <t>Truck Loadout</t>
  </si>
  <si>
    <t>Silo Filling</t>
  </si>
  <si>
    <t>lbs/MMCF</t>
  </si>
  <si>
    <t>Dryer, Hot Screens, Mixer</t>
  </si>
  <si>
    <t>Maximum Hourly Capacity (tons/hr)</t>
  </si>
  <si>
    <t>Acetaldehyde</t>
  </si>
  <si>
    <t>Quinone</t>
  </si>
  <si>
    <t>Asphalt Plant - Controlled</t>
  </si>
  <si>
    <t>Asphalt Plant - Uncontrolled</t>
  </si>
  <si>
    <t>Acrolein</t>
  </si>
  <si>
    <t>Hydrocloric Acid</t>
  </si>
  <si>
    <t>Propionaldehyde</t>
  </si>
  <si>
    <t>Natural Gas Fired Heater</t>
  </si>
  <si>
    <t>Liquid Asphalt Cement Heater</t>
  </si>
  <si>
    <t>Type of Stationary Plant:</t>
  </si>
  <si>
    <t>Type of Fuel Used:</t>
  </si>
  <si>
    <t>Batch Mix Plant</t>
  </si>
  <si>
    <t>Drum Mix Plant</t>
  </si>
  <si>
    <t>Fuel Oil</t>
  </si>
  <si>
    <t>Natural Gas</t>
  </si>
  <si>
    <t>Silo Filling, Truck Loadout, Aggregate Transfer</t>
  </si>
  <si>
    <t>Number of Transfer Points</t>
  </si>
  <si>
    <t>Number of Days the Storage Pile Existed in Emission Year (days/yr)</t>
  </si>
  <si>
    <t>AP-42 Table 11.1-2, 5, 6, 9</t>
  </si>
  <si>
    <t>AP-42 Table 11.1-4, 7, 8, 10</t>
  </si>
  <si>
    <t>AP-42 Table 11.1-4, 7, 8, 10, 12</t>
  </si>
  <si>
    <t>AP-42 Table 11.1-13</t>
  </si>
  <si>
    <t>AP-42 Table 11.1-14</t>
  </si>
  <si>
    <t>AP-42 Table 11.19.2-2 (&amp; App. B2 for PM2.5)</t>
  </si>
  <si>
    <t>WebFIRE SCC# 30502507</t>
  </si>
  <si>
    <t>Is Your Operation Controlled?</t>
  </si>
  <si>
    <t>Material Delivery Trucks Unpaved Haul Road</t>
  </si>
  <si>
    <t>Asphalt Trucks Unpaved Haul Road</t>
  </si>
  <si>
    <t>Material Delivery Trucks Paved Haul Road</t>
  </si>
  <si>
    <t>Asphalt Trucks Paved Haul Road</t>
  </si>
  <si>
    <t>(Material Delivery and Asphalt Trucks)</t>
  </si>
  <si>
    <t>Chromium Compounds</t>
  </si>
  <si>
    <t>Lead Compounds</t>
  </si>
  <si>
    <t>Manganese Compounds</t>
  </si>
  <si>
    <t>lbs/gal</t>
  </si>
  <si>
    <t>Fuel Oil Fired Heater</t>
  </si>
  <si>
    <t>Hydrochloric Acid</t>
  </si>
  <si>
    <t>Source of            Emission Factor</t>
  </si>
  <si>
    <t>Source of         Emission Factor</t>
  </si>
  <si>
    <t>Source of           Emission Factor</t>
  </si>
  <si>
    <t>gal/hr</t>
  </si>
  <si>
    <t>MMCF/hr</t>
  </si>
  <si>
    <t>Batch Mix Plant - Fuel Oil</t>
  </si>
  <si>
    <t>Batch Mix Plant - Natural Gas</t>
  </si>
  <si>
    <t>Batch Mix Plant - Waste Oil</t>
  </si>
  <si>
    <t xml:space="preserve">Drum Mix Plant - Fuel Oil </t>
  </si>
  <si>
    <t>Drum Mix Plant - Natural Gas</t>
  </si>
  <si>
    <t xml:space="preserve">Drum Mix Plant - Waste Oil </t>
  </si>
  <si>
    <t>Drum Mix Plant - Fuel Oil</t>
  </si>
  <si>
    <t>Drum Mix Plant - Waste Oil</t>
  </si>
  <si>
    <t>Acetaldhyde</t>
  </si>
  <si>
    <t>75-07-0</t>
  </si>
  <si>
    <t>107-02-8</t>
  </si>
  <si>
    <t>100-41-4</t>
  </si>
  <si>
    <t>110-54-3</t>
  </si>
  <si>
    <t>7647-01-0</t>
  </si>
  <si>
    <t>71-55-6</t>
  </si>
  <si>
    <t>123-38-6</t>
  </si>
  <si>
    <t>106-51-4</t>
  </si>
  <si>
    <t>108-88-3</t>
  </si>
  <si>
    <t>540-84-1</t>
  </si>
  <si>
    <t>1330-20-7</t>
  </si>
  <si>
    <t>Maximum Size of all Storage Piles Combined (acres)</t>
  </si>
  <si>
    <t>Average Storage Area of All Storage Piles Combined (acres)</t>
  </si>
  <si>
    <t>7440-02-0</t>
  </si>
  <si>
    <t>7440-47-3</t>
  </si>
  <si>
    <t>7439-92-1</t>
  </si>
  <si>
    <t>7439-96-5</t>
  </si>
  <si>
    <t>PERMIT NUMBER(S):</t>
  </si>
  <si>
    <t xml:space="preserve">Enter 0.6 for public road, 70 for sand &amp; gravel processing industrial road, 10 for stone quarrying and processing industrial road. </t>
  </si>
  <si>
    <t>Waste Oil</t>
  </si>
  <si>
    <t>Note: if your facility has multiple permits for your stationary asphalt plant, review the emission limits section of each permit and add all emission limits (lbs/hr and tons/yr) for each pollutant together and enter the sums in the table to the left.</t>
  </si>
  <si>
    <t xml:space="preserve">Enter 0.6 for public road, 70 for sand &amp; gravel processing industrial road or 8.2 for quarry industrial road. </t>
  </si>
  <si>
    <t>Waste Oil Fired Heater</t>
  </si>
  <si>
    <t>** As of 2016 Potential Emissions are no longer required to be reported in the Minor Source Emissions Inventory**</t>
  </si>
  <si>
    <t>Last Updated 1-12-16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</si>
</sst>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  <numFmt numFmtId="168" formatCode="0.000000"/>
    <numFmt numFmtId="169" formatCode="0.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i/>
      <sz val="11"/>
      <color indexed="8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i/>
      <sz val="8"/>
      <color indexed="10"/>
      <name val="Arial"/>
      <family val="2"/>
    </font>
    <font>
      <sz val="9"/>
      <color indexed="8"/>
      <name val="Calibri"/>
      <family val="2"/>
    </font>
    <font>
      <i/>
      <sz val="8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2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i/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i/>
      <sz val="8"/>
      <color theme="1"/>
      <name val="Arial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6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65" fillId="0" borderId="14" xfId="0" applyNumberFormat="1" applyFont="1" applyBorder="1" applyAlignment="1" applyProtection="1">
      <alignment horizontal="center"/>
      <protection/>
    </xf>
    <xf numFmtId="2" fontId="65" fillId="0" borderId="0" xfId="0" applyNumberFormat="1" applyFont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left"/>
      <protection/>
    </xf>
    <xf numFmtId="2" fontId="66" fillId="0" borderId="0" xfId="0" applyNumberFormat="1" applyFont="1" applyAlignment="1" applyProtection="1">
      <alignment horizontal="left"/>
      <protection/>
    </xf>
    <xf numFmtId="0" fontId="65" fillId="0" borderId="14" xfId="0" applyFont="1" applyBorder="1" applyAlignment="1" applyProtection="1">
      <alignment horizontal="center"/>
      <protection/>
    </xf>
    <xf numFmtId="0" fontId="67" fillId="33" borderId="15" xfId="0" applyFont="1" applyFill="1" applyBorder="1" applyAlignment="1" applyProtection="1">
      <alignment/>
      <protection locked="0"/>
    </xf>
    <xf numFmtId="0" fontId="67" fillId="33" borderId="14" xfId="0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68" fillId="0" borderId="0" xfId="0" applyFont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 locked="0"/>
    </xf>
    <xf numFmtId="3" fontId="0" fillId="33" borderId="14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 horizontal="center"/>
      <protection/>
    </xf>
    <xf numFmtId="0" fontId="5" fillId="0" borderId="0" xfId="57" applyFont="1" applyBorder="1" applyAlignment="1" applyProtection="1">
      <alignment vertical="center" wrapText="1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5" fillId="0" borderId="0" xfId="57" applyFont="1" applyBorder="1" applyAlignment="1" applyProtection="1">
      <alignment/>
      <protection/>
    </xf>
    <xf numFmtId="0" fontId="5" fillId="0" borderId="0" xfId="57" applyFont="1" applyFill="1" applyAlignment="1" applyProtection="1">
      <alignment/>
      <protection/>
    </xf>
    <xf numFmtId="0" fontId="5" fillId="0" borderId="14" xfId="57" applyFont="1" applyFill="1" applyBorder="1" applyAlignment="1" applyProtection="1">
      <alignment horizontal="center" vertical="center" wrapText="1"/>
      <protection/>
    </xf>
    <xf numFmtId="0" fontId="5" fillId="34" borderId="14" xfId="57" applyFont="1" applyFill="1" applyBorder="1" applyAlignment="1" applyProtection="1">
      <alignment horizontal="center" vertical="center" wrapText="1"/>
      <protection/>
    </xf>
    <xf numFmtId="3" fontId="5" fillId="0" borderId="14" xfId="57" applyNumberFormat="1" applyFont="1" applyFill="1" applyBorder="1" applyAlignment="1" applyProtection="1">
      <alignment horizontal="center" vertical="center" wrapText="1"/>
      <protection/>
    </xf>
    <xf numFmtId="0" fontId="5" fillId="33" borderId="14" xfId="57" applyFont="1" applyFill="1" applyBorder="1" applyAlignment="1" applyProtection="1">
      <alignment horizontal="center" vertical="center" wrapText="1"/>
      <protection locked="0"/>
    </xf>
    <xf numFmtId="0" fontId="5" fillId="33" borderId="14" xfId="57" applyFont="1" applyFill="1" applyBorder="1" applyAlignment="1" applyProtection="1">
      <alignment horizontal="center"/>
      <protection locked="0"/>
    </xf>
    <xf numFmtId="0" fontId="5" fillId="0" borderId="0" xfId="57" applyFont="1" applyBorder="1" applyAlignment="1" applyProtection="1">
      <alignment vertical="center"/>
      <protection/>
    </xf>
    <xf numFmtId="9" fontId="5" fillId="33" borderId="14" xfId="61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 horizontal="center"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165" fontId="0" fillId="0" borderId="0" xfId="0" applyNumberFormat="1" applyAlignment="1">
      <alignment/>
    </xf>
    <xf numFmtId="0" fontId="36" fillId="0" borderId="0" xfId="57" applyFont="1" applyAlignment="1" applyProtection="1">
      <alignment horizontal="left"/>
      <protection/>
    </xf>
    <xf numFmtId="0" fontId="63" fillId="0" borderId="0" xfId="0" applyFont="1" applyAlignment="1">
      <alignment horizontal="left"/>
    </xf>
    <xf numFmtId="0" fontId="70" fillId="0" borderId="0" xfId="0" applyFont="1" applyAlignment="1">
      <alignment/>
    </xf>
    <xf numFmtId="0" fontId="71" fillId="0" borderId="0" xfId="0" applyFont="1" applyAlignment="1" applyProtection="1">
      <alignment/>
      <protection/>
    </xf>
    <xf numFmtId="2" fontId="0" fillId="0" borderId="14" xfId="0" applyNumberFormat="1" applyBorder="1" applyAlignment="1" applyProtection="1">
      <alignment horizontal="center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0" xfId="57" applyProtection="1">
      <alignment/>
      <protection/>
    </xf>
    <xf numFmtId="0" fontId="3" fillId="0" borderId="0" xfId="57" applyFont="1" applyProtection="1">
      <alignment/>
      <protection/>
    </xf>
    <xf numFmtId="0" fontId="8" fillId="0" borderId="0" xfId="57" applyFont="1" applyProtection="1">
      <alignment/>
      <protection/>
    </xf>
    <xf numFmtId="0" fontId="2" fillId="0" borderId="0" xfId="57" applyFont="1" applyProtection="1">
      <alignment/>
      <protection/>
    </xf>
    <xf numFmtId="0" fontId="4" fillId="35" borderId="14" xfId="57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/>
    </xf>
    <xf numFmtId="0" fontId="65" fillId="0" borderId="0" xfId="0" applyFont="1" applyBorder="1" applyAlignment="1" applyProtection="1">
      <alignment horizontal="center"/>
      <protection/>
    </xf>
    <xf numFmtId="2" fontId="65" fillId="0" borderId="0" xfId="0" applyNumberFormat="1" applyFont="1" applyBorder="1" applyAlignment="1" applyProtection="1">
      <alignment horizontal="center"/>
      <protection/>
    </xf>
    <xf numFmtId="4" fontId="0" fillId="33" borderId="16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/>
    </xf>
    <xf numFmtId="0" fontId="71" fillId="0" borderId="0" xfId="0" applyFont="1" applyAlignment="1">
      <alignment/>
    </xf>
    <xf numFmtId="0" fontId="72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7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0" fontId="67" fillId="0" borderId="17" xfId="0" applyFont="1" applyBorder="1" applyAlignment="1" applyProtection="1">
      <alignment/>
      <protection/>
    </xf>
    <xf numFmtId="0" fontId="67" fillId="0" borderId="14" xfId="0" applyFont="1" applyBorder="1" applyAlignment="1" applyProtection="1">
      <alignment horizontal="center"/>
      <protection/>
    </xf>
    <xf numFmtId="0" fontId="67" fillId="0" borderId="14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/>
      <protection/>
    </xf>
    <xf numFmtId="4" fontId="0" fillId="33" borderId="1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/>
      <protection/>
    </xf>
    <xf numFmtId="4" fontId="73" fillId="33" borderId="14" xfId="0" applyNumberFormat="1" applyFont="1" applyFill="1" applyBorder="1" applyAlignment="1" applyProtection="1">
      <alignment horizontal="center"/>
      <protection locked="0"/>
    </xf>
    <xf numFmtId="0" fontId="67" fillId="0" borderId="21" xfId="0" applyFont="1" applyBorder="1" applyAlignment="1" applyProtection="1">
      <alignment wrapText="1"/>
      <protection/>
    </xf>
    <xf numFmtId="0" fontId="67" fillId="0" borderId="0" xfId="0" applyFont="1" applyAlignment="1" applyProtection="1">
      <alignment horizontal="left"/>
      <protection/>
    </xf>
    <xf numFmtId="0" fontId="67" fillId="0" borderId="0" xfId="0" applyFont="1" applyFill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0" fontId="66" fillId="0" borderId="0" xfId="0" applyFont="1" applyBorder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0" fontId="74" fillId="33" borderId="14" xfId="0" applyFont="1" applyFill="1" applyBorder="1" applyAlignment="1" applyProtection="1">
      <alignment horizontal="center"/>
      <protection locked="0"/>
    </xf>
    <xf numFmtId="0" fontId="74" fillId="33" borderId="14" xfId="0" applyFont="1" applyFill="1" applyBorder="1" applyAlignment="1" applyProtection="1">
      <alignment/>
      <protection locked="0"/>
    </xf>
    <xf numFmtId="4" fontId="74" fillId="33" borderId="14" xfId="0" applyNumberFormat="1" applyFont="1" applyFill="1" applyBorder="1" applyAlignment="1" applyProtection="1">
      <alignment horizontal="center"/>
      <protection locked="0"/>
    </xf>
    <xf numFmtId="0" fontId="14" fillId="0" borderId="14" xfId="57" applyFont="1" applyBorder="1" applyAlignment="1" applyProtection="1">
      <alignment horizontal="right"/>
      <protection/>
    </xf>
    <xf numFmtId="4" fontId="74" fillId="0" borderId="14" xfId="0" applyNumberFormat="1" applyFont="1" applyBorder="1" applyAlignment="1" applyProtection="1">
      <alignment horizontal="center"/>
      <protection/>
    </xf>
    <xf numFmtId="4" fontId="74" fillId="0" borderId="14" xfId="0" applyNumberFormat="1" applyFont="1" applyFill="1" applyBorder="1" applyAlignment="1" applyProtection="1">
      <alignment horizontal="center"/>
      <protection/>
    </xf>
    <xf numFmtId="0" fontId="14" fillId="0" borderId="14" xfId="57" applyFont="1" applyBorder="1" applyAlignment="1" applyProtection="1">
      <alignment horizontal="center"/>
      <protection/>
    </xf>
    <xf numFmtId="4" fontId="4" fillId="35" borderId="14" xfId="57" applyNumberFormat="1" applyFill="1" applyBorder="1" applyAlignment="1" applyProtection="1">
      <alignment horizontal="center"/>
      <protection locked="0"/>
    </xf>
    <xf numFmtId="0" fontId="67" fillId="0" borderId="14" xfId="0" applyFont="1" applyBorder="1" applyAlignment="1" applyProtection="1">
      <alignment horizontal="right"/>
      <protection/>
    </xf>
    <xf numFmtId="0" fontId="67" fillId="0" borderId="0" xfId="0" applyFont="1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 horizontal="center"/>
      <protection/>
    </xf>
    <xf numFmtId="4" fontId="6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75" fillId="0" borderId="0" xfId="0" applyFont="1" applyFill="1" applyBorder="1" applyAlignment="1" applyProtection="1">
      <alignment/>
      <protection/>
    </xf>
    <xf numFmtId="0" fontId="5" fillId="0" borderId="0" xfId="57" applyFont="1" applyBorder="1" applyAlignment="1" applyProtection="1">
      <alignment horizontal="left" vertical="center" wrapText="1"/>
      <protection/>
    </xf>
    <xf numFmtId="0" fontId="5" fillId="0" borderId="0" xfId="57" applyFont="1" applyBorder="1" applyAlignment="1" applyProtection="1">
      <alignment horizontal="left"/>
      <protection/>
    </xf>
    <xf numFmtId="0" fontId="5" fillId="33" borderId="18" xfId="57" applyFont="1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/>
      <protection locked="0"/>
    </xf>
    <xf numFmtId="0" fontId="74" fillId="0" borderId="14" xfId="0" applyFont="1" applyFill="1" applyBorder="1" applyAlignment="1" applyProtection="1">
      <alignment/>
      <protection/>
    </xf>
    <xf numFmtId="0" fontId="5" fillId="0" borderId="21" xfId="57" applyFont="1" applyBorder="1" applyAlignment="1" applyProtection="1">
      <alignment vertical="center"/>
      <protection/>
    </xf>
    <xf numFmtId="0" fontId="5" fillId="0" borderId="21" xfId="57" applyFont="1" applyFill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74" fillId="0" borderId="14" xfId="0" applyFont="1" applyBorder="1" applyAlignment="1" applyProtection="1">
      <alignment horizontal="center"/>
      <protection/>
    </xf>
    <xf numFmtId="0" fontId="74" fillId="0" borderId="14" xfId="0" applyFont="1" applyFill="1" applyBorder="1" applyAlignment="1" applyProtection="1">
      <alignment horizontal="center"/>
      <protection/>
    </xf>
    <xf numFmtId="0" fontId="74" fillId="0" borderId="0" xfId="0" applyFont="1" applyFill="1" applyBorder="1" applyAlignment="1" applyProtection="1">
      <alignment horizontal="center"/>
      <protection/>
    </xf>
    <xf numFmtId="0" fontId="74" fillId="0" borderId="19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2" fontId="65" fillId="0" borderId="14" xfId="0" applyNumberFormat="1" applyFont="1" applyFill="1" applyBorder="1" applyAlignment="1" applyProtection="1">
      <alignment horizontal="center"/>
      <protection/>
    </xf>
    <xf numFmtId="2" fontId="65" fillId="0" borderId="0" xfId="0" applyNumberFormat="1" applyFont="1" applyFill="1" applyBorder="1" applyAlignment="1" applyProtection="1">
      <alignment horizontal="center"/>
      <protection/>
    </xf>
    <xf numFmtId="2" fontId="65" fillId="0" borderId="19" xfId="0" applyNumberFormat="1" applyFont="1" applyFill="1" applyBorder="1" applyAlignment="1" applyProtection="1">
      <alignment horizontal="center"/>
      <protection/>
    </xf>
    <xf numFmtId="0" fontId="74" fillId="0" borderId="22" xfId="0" applyFont="1" applyFill="1" applyBorder="1" applyAlignment="1" applyProtection="1">
      <alignment horizontal="center"/>
      <protection/>
    </xf>
    <xf numFmtId="0" fontId="66" fillId="0" borderId="14" xfId="0" applyFont="1" applyFill="1" applyBorder="1" applyAlignment="1" applyProtection="1">
      <alignment horizontal="center"/>
      <protection/>
    </xf>
    <xf numFmtId="0" fontId="65" fillId="0" borderId="14" xfId="0" applyFont="1" applyFill="1" applyBorder="1" applyAlignment="1" applyProtection="1">
      <alignment horizontal="center"/>
      <protection/>
    </xf>
    <xf numFmtId="2" fontId="0" fillId="33" borderId="14" xfId="0" applyNumberFormat="1" applyFill="1" applyBorder="1" applyAlignment="1" applyProtection="1">
      <alignment horizontal="center"/>
      <protection/>
    </xf>
    <xf numFmtId="0" fontId="76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4" fillId="0" borderId="0" xfId="0" applyFont="1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74" fillId="0" borderId="0" xfId="0" applyFont="1" applyFill="1" applyAlignment="1" applyProtection="1">
      <alignment horizontal="center"/>
      <protection/>
    </xf>
    <xf numFmtId="2" fontId="65" fillId="0" borderId="0" xfId="0" applyNumberFormat="1" applyFont="1" applyFill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/>
      <protection/>
    </xf>
    <xf numFmtId="0" fontId="74" fillId="0" borderId="0" xfId="0" applyFont="1" applyFill="1" applyAlignment="1">
      <alignment/>
    </xf>
    <xf numFmtId="0" fontId="74" fillId="0" borderId="18" xfId="0" applyFont="1" applyFill="1" applyBorder="1" applyAlignment="1" applyProtection="1">
      <alignment horizontal="center"/>
      <protection/>
    </xf>
    <xf numFmtId="0" fontId="6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2" fontId="65" fillId="0" borderId="18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74" fillId="0" borderId="15" xfId="0" applyFont="1" applyFill="1" applyBorder="1" applyAlignment="1" applyProtection="1">
      <alignment horizontal="center"/>
      <protection/>
    </xf>
    <xf numFmtId="2" fontId="65" fillId="0" borderId="15" xfId="0" applyNumberFormat="1" applyFont="1" applyFill="1" applyBorder="1" applyAlignment="1" applyProtection="1">
      <alignment horizontal="center"/>
      <protection/>
    </xf>
    <xf numFmtId="0" fontId="74" fillId="0" borderId="20" xfId="0" applyFont="1" applyFill="1" applyBorder="1" applyAlignment="1" applyProtection="1">
      <alignment horizontal="center"/>
      <protection/>
    </xf>
    <xf numFmtId="2" fontId="65" fillId="0" borderId="20" xfId="0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left"/>
      <protection/>
    </xf>
    <xf numFmtId="168" fontId="0" fillId="0" borderId="14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 applyProtection="1">
      <alignment horizontal="center"/>
      <protection/>
    </xf>
    <xf numFmtId="0" fontId="74" fillId="0" borderId="14" xfId="0" applyFont="1" applyFill="1" applyBorder="1" applyAlignment="1" applyProtection="1">
      <alignment horizontal="left"/>
      <protection/>
    </xf>
    <xf numFmtId="2" fontId="0" fillId="0" borderId="14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left"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14" xfId="0" applyFill="1" applyBorder="1" applyAlignment="1">
      <alignment/>
    </xf>
    <xf numFmtId="2" fontId="0" fillId="0" borderId="0" xfId="0" applyNumberFormat="1" applyFill="1" applyBorder="1" applyAlignment="1" applyProtection="1">
      <alignment horizontal="center"/>
      <protection/>
    </xf>
    <xf numFmtId="0" fontId="67" fillId="33" borderId="14" xfId="0" applyFont="1" applyFill="1" applyBorder="1" applyAlignment="1" applyProtection="1">
      <alignment horizontal="left"/>
      <protection locked="0"/>
    </xf>
    <xf numFmtId="0" fontId="67" fillId="0" borderId="14" xfId="0" applyFont="1" applyFill="1" applyBorder="1" applyAlignment="1" applyProtection="1">
      <alignment horizontal="right"/>
      <protection/>
    </xf>
    <xf numFmtId="0" fontId="63" fillId="0" borderId="20" xfId="0" applyFont="1" applyBorder="1" applyAlignment="1" applyProtection="1">
      <alignment horizontal="center" wrapText="1"/>
      <protection/>
    </xf>
    <xf numFmtId="0" fontId="63" fillId="0" borderId="14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left"/>
      <protection/>
    </xf>
    <xf numFmtId="0" fontId="63" fillId="0" borderId="20" xfId="0" applyFont="1" applyFill="1" applyBorder="1" applyAlignment="1" applyProtection="1">
      <alignment horizontal="center" wrapText="1"/>
      <protection/>
    </xf>
    <xf numFmtId="0" fontId="63" fillId="0" borderId="15" xfId="0" applyFont="1" applyFill="1" applyBorder="1" applyAlignment="1" applyProtection="1">
      <alignment horizontal="center" wrapText="1"/>
      <protection/>
    </xf>
    <xf numFmtId="0" fontId="63" fillId="0" borderId="14" xfId="0" applyFont="1" applyBorder="1" applyAlignment="1" applyProtection="1">
      <alignment horizontal="center"/>
      <protection/>
    </xf>
    <xf numFmtId="0" fontId="63" fillId="0" borderId="19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2" fontId="65" fillId="33" borderId="14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74" fillId="0" borderId="23" xfId="0" applyFont="1" applyFill="1" applyBorder="1" applyAlignment="1" applyProtection="1">
      <alignment horizontal="center"/>
      <protection/>
    </xf>
    <xf numFmtId="2" fontId="65" fillId="0" borderId="23" xfId="0" applyNumberFormat="1" applyFont="1" applyFill="1" applyBorder="1" applyAlignment="1" applyProtection="1">
      <alignment horizontal="center"/>
      <protection/>
    </xf>
    <xf numFmtId="2" fontId="67" fillId="33" borderId="14" xfId="0" applyNumberFormat="1" applyFont="1" applyFill="1" applyBorder="1" applyAlignment="1" applyProtection="1">
      <alignment horizontal="center"/>
      <protection locked="0"/>
    </xf>
    <xf numFmtId="4" fontId="67" fillId="33" borderId="14" xfId="0" applyNumberFormat="1" applyFont="1" applyFill="1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 horizontal="center"/>
      <protection/>
    </xf>
    <xf numFmtId="0" fontId="76" fillId="0" borderId="14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76" fillId="0" borderId="14" xfId="0" applyFont="1" applyBorder="1" applyAlignment="1" applyProtection="1">
      <alignment horizontal="center"/>
      <protection/>
    </xf>
    <xf numFmtId="0" fontId="76" fillId="0" borderId="14" xfId="0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4" fontId="74" fillId="33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 horizontal="center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vertical="top" wrapText="1"/>
      <protection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7" fillId="0" borderId="14" xfId="0" applyFont="1" applyBorder="1" applyAlignment="1" applyProtection="1">
      <alignment horizontal="left"/>
      <protection/>
    </xf>
    <xf numFmtId="0" fontId="73" fillId="0" borderId="14" xfId="0" applyFont="1" applyBorder="1" applyAlignment="1" applyProtection="1">
      <alignment horizontal="right"/>
      <protection/>
    </xf>
    <xf numFmtId="0" fontId="67" fillId="33" borderId="14" xfId="0" applyFont="1" applyFill="1" applyBorder="1" applyAlignment="1" applyProtection="1">
      <alignment horizontal="left"/>
      <protection locked="0"/>
    </xf>
    <xf numFmtId="0" fontId="71" fillId="0" borderId="0" xfId="0" applyFont="1" applyAlignment="1" applyProtection="1">
      <alignment horizontal="left"/>
      <protection/>
    </xf>
    <xf numFmtId="0" fontId="67" fillId="33" borderId="16" xfId="0" applyFont="1" applyFill="1" applyBorder="1" applyAlignment="1" applyProtection="1">
      <alignment horizontal="left"/>
      <protection locked="0"/>
    </xf>
    <xf numFmtId="0" fontId="67" fillId="33" borderId="33" xfId="0" applyFont="1" applyFill="1" applyBorder="1" applyAlignment="1" applyProtection="1">
      <alignment horizontal="left"/>
      <protection locked="0"/>
    </xf>
    <xf numFmtId="0" fontId="67" fillId="0" borderId="0" xfId="0" applyFont="1" applyBorder="1" applyAlignment="1" applyProtection="1">
      <alignment horizontal="left" wrapText="1"/>
      <protection/>
    </xf>
    <xf numFmtId="0" fontId="67" fillId="0" borderId="16" xfId="0" applyFont="1" applyBorder="1" applyAlignment="1" applyProtection="1">
      <alignment horizontal="center"/>
      <protection/>
    </xf>
    <xf numFmtId="0" fontId="67" fillId="0" borderId="33" xfId="0" applyFont="1" applyBorder="1" applyAlignment="1" applyProtection="1">
      <alignment horizontal="center"/>
      <protection/>
    </xf>
    <xf numFmtId="0" fontId="67" fillId="33" borderId="19" xfId="0" applyFont="1" applyFill="1" applyBorder="1" applyAlignment="1" applyProtection="1">
      <alignment horizontal="left"/>
      <protection locked="0"/>
    </xf>
    <xf numFmtId="0" fontId="72" fillId="0" borderId="0" xfId="0" applyFont="1" applyFill="1" applyBorder="1" applyAlignment="1" applyProtection="1">
      <alignment horizontal="left" vertical="top" wrapText="1"/>
      <protection/>
    </xf>
    <xf numFmtId="0" fontId="67" fillId="0" borderId="16" xfId="0" applyFont="1" applyFill="1" applyBorder="1" applyAlignment="1" applyProtection="1">
      <alignment horizontal="right"/>
      <protection/>
    </xf>
    <xf numFmtId="0" fontId="67" fillId="0" borderId="33" xfId="0" applyFont="1" applyFill="1" applyBorder="1" applyAlignment="1" applyProtection="1">
      <alignment horizontal="right"/>
      <protection/>
    </xf>
    <xf numFmtId="0" fontId="67" fillId="0" borderId="14" xfId="0" applyFont="1" applyFill="1" applyBorder="1" applyAlignment="1" applyProtection="1">
      <alignment horizontal="right"/>
      <protection/>
    </xf>
    <xf numFmtId="0" fontId="63" fillId="0" borderId="18" xfId="0" applyFont="1" applyBorder="1" applyAlignment="1" applyProtection="1">
      <alignment horizontal="center" wrapText="1"/>
      <protection/>
    </xf>
    <xf numFmtId="0" fontId="63" fillId="0" borderId="20" xfId="0" applyFont="1" applyBorder="1" applyAlignment="1" applyProtection="1">
      <alignment horizontal="center" wrapText="1"/>
      <protection/>
    </xf>
    <xf numFmtId="0" fontId="5" fillId="0" borderId="0" xfId="57" applyFont="1" applyAlignment="1" applyProtection="1">
      <alignment horizontal="right"/>
      <protection/>
    </xf>
    <xf numFmtId="0" fontId="5" fillId="0" borderId="34" xfId="57" applyFont="1" applyBorder="1" applyAlignment="1" applyProtection="1">
      <alignment horizontal="right"/>
      <protection/>
    </xf>
    <xf numFmtId="0" fontId="5" fillId="0" borderId="21" xfId="57" applyFont="1" applyBorder="1" applyAlignment="1" applyProtection="1">
      <alignment horizontal="left"/>
      <protection/>
    </xf>
    <xf numFmtId="0" fontId="5" fillId="0" borderId="0" xfId="57" applyFont="1" applyBorder="1" applyAlignment="1" applyProtection="1">
      <alignment horizontal="left"/>
      <protection/>
    </xf>
    <xf numFmtId="0" fontId="63" fillId="0" borderId="16" xfId="0" applyFont="1" applyBorder="1" applyAlignment="1" applyProtection="1">
      <alignment horizontal="center" wrapText="1"/>
      <protection/>
    </xf>
    <xf numFmtId="0" fontId="63" fillId="0" borderId="33" xfId="0" applyFont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63" fillId="0" borderId="35" xfId="0" applyFont="1" applyBorder="1" applyAlignment="1" applyProtection="1">
      <alignment horizontal="center" wrapText="1"/>
      <protection/>
    </xf>
    <xf numFmtId="0" fontId="63" fillId="0" borderId="36" xfId="0" applyFont="1" applyBorder="1" applyAlignment="1" applyProtection="1">
      <alignment horizontal="center" wrapText="1"/>
      <protection/>
    </xf>
    <xf numFmtId="0" fontId="63" fillId="0" borderId="17" xfId="0" applyFont="1" applyBorder="1" applyAlignment="1" applyProtection="1">
      <alignment horizontal="center" wrapText="1"/>
      <protection/>
    </xf>
    <xf numFmtId="0" fontId="63" fillId="0" borderId="37" xfId="0" applyFont="1" applyBorder="1" applyAlignment="1" applyProtection="1">
      <alignment horizontal="center" wrapText="1"/>
      <protection/>
    </xf>
    <xf numFmtId="0" fontId="63" fillId="0" borderId="14" xfId="0" applyFont="1" applyFill="1" applyBorder="1" applyAlignment="1" applyProtection="1">
      <alignment horizontal="center" wrapText="1"/>
      <protection/>
    </xf>
    <xf numFmtId="0" fontId="63" fillId="0" borderId="14" xfId="0" applyFont="1" applyBorder="1" applyAlignment="1" applyProtection="1">
      <alignment horizontal="center" wrapText="1"/>
      <protection/>
    </xf>
    <xf numFmtId="0" fontId="5" fillId="0" borderId="0" xfId="57" applyFont="1" applyBorder="1" applyAlignment="1" applyProtection="1">
      <alignment horizontal="right" vertical="center" wrapText="1"/>
      <protection/>
    </xf>
    <xf numFmtId="0" fontId="5" fillId="0" borderId="34" xfId="57" applyFont="1" applyBorder="1" applyAlignment="1" applyProtection="1">
      <alignment horizontal="right" vertical="center" wrapText="1"/>
      <protection/>
    </xf>
    <xf numFmtId="0" fontId="5" fillId="0" borderId="21" xfId="57" applyFont="1" applyBorder="1" applyAlignment="1" applyProtection="1">
      <alignment horizontal="left" vertical="center"/>
      <protection/>
    </xf>
    <xf numFmtId="0" fontId="5" fillId="0" borderId="0" xfId="57" applyFont="1" applyBorder="1" applyAlignment="1" applyProtection="1">
      <alignment horizontal="left" vertical="center"/>
      <protection/>
    </xf>
    <xf numFmtId="0" fontId="5" fillId="0" borderId="21" xfId="57" applyFont="1" applyBorder="1" applyAlignment="1" applyProtection="1">
      <alignment horizontal="left" vertical="center" wrapText="1"/>
      <protection/>
    </xf>
    <xf numFmtId="0" fontId="5" fillId="0" borderId="0" xfId="57" applyFont="1" applyBorder="1" applyAlignment="1" applyProtection="1">
      <alignment horizontal="left" vertical="center" wrapText="1"/>
      <protection/>
    </xf>
    <xf numFmtId="0" fontId="71" fillId="0" borderId="23" xfId="0" applyFont="1" applyBorder="1" applyAlignment="1" applyProtection="1">
      <alignment horizontal="left"/>
      <protection/>
    </xf>
    <xf numFmtId="0" fontId="5" fillId="0" borderId="0" xfId="57" applyFont="1" applyFill="1" applyAlignment="1" applyProtection="1">
      <alignment horizontal="right"/>
      <protection/>
    </xf>
    <xf numFmtId="0" fontId="5" fillId="0" borderId="0" xfId="57" applyFont="1" applyAlignment="1" applyProtection="1">
      <alignment horizontal="right" vertical="center" wrapText="1"/>
      <protection/>
    </xf>
    <xf numFmtId="0" fontId="63" fillId="33" borderId="1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63" fillId="0" borderId="16" xfId="0" applyFont="1" applyBorder="1" applyAlignment="1" applyProtection="1">
      <alignment horizontal="center"/>
      <protection/>
    </xf>
    <xf numFmtId="0" fontId="63" fillId="0" borderId="33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5" fillId="0" borderId="21" xfId="57" applyFont="1" applyFill="1" applyBorder="1" applyAlignment="1" applyProtection="1">
      <alignment horizontal="left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left"/>
      <protection/>
    </xf>
    <xf numFmtId="0" fontId="77" fillId="0" borderId="18" xfId="0" applyFont="1" applyBorder="1" applyAlignment="1" applyProtection="1">
      <alignment horizontal="center" wrapText="1"/>
      <protection/>
    </xf>
    <xf numFmtId="0" fontId="77" fillId="0" borderId="20" xfId="0" applyFont="1" applyBorder="1" applyAlignment="1" applyProtection="1">
      <alignment horizontal="center" wrapText="1"/>
      <protection/>
    </xf>
    <xf numFmtId="0" fontId="13" fillId="0" borderId="18" xfId="0" applyFont="1" applyFill="1" applyBorder="1" applyAlignment="1" applyProtection="1">
      <alignment horizontal="center" wrapText="1"/>
      <protection/>
    </xf>
    <xf numFmtId="0" fontId="13" fillId="0" borderId="20" xfId="0" applyFont="1" applyFill="1" applyBorder="1" applyAlignment="1" applyProtection="1">
      <alignment horizontal="center" wrapText="1"/>
      <protection/>
    </xf>
    <xf numFmtId="0" fontId="77" fillId="0" borderId="14" xfId="0" applyFont="1" applyBorder="1" applyAlignment="1" applyProtection="1">
      <alignment horizontal="center" wrapText="1"/>
      <protection/>
    </xf>
    <xf numFmtId="0" fontId="78" fillId="0" borderId="0" xfId="0" applyFont="1" applyBorder="1" applyAlignment="1" applyProtection="1">
      <alignment horizontal="left"/>
      <protection/>
    </xf>
    <xf numFmtId="0" fontId="78" fillId="0" borderId="23" xfId="0" applyFont="1" applyFill="1" applyBorder="1" applyAlignment="1" applyProtection="1">
      <alignment horizontal="left"/>
      <protection/>
    </xf>
    <xf numFmtId="0" fontId="78" fillId="0" borderId="0" xfId="0" applyFont="1" applyFill="1" applyBorder="1" applyAlignment="1" applyProtection="1">
      <alignment horizontal="left"/>
      <protection/>
    </xf>
    <xf numFmtId="0" fontId="63" fillId="0" borderId="18" xfId="0" applyFont="1" applyFill="1" applyBorder="1" applyAlignment="1" applyProtection="1">
      <alignment horizontal="center" wrapText="1"/>
      <protection/>
    </xf>
    <xf numFmtId="0" fontId="63" fillId="0" borderId="20" xfId="0" applyFont="1" applyFill="1" applyBorder="1" applyAlignment="1" applyProtection="1">
      <alignment horizontal="center" wrapText="1"/>
      <protection/>
    </xf>
    <xf numFmtId="0" fontId="71" fillId="0" borderId="0" xfId="0" applyFont="1" applyAlignment="1">
      <alignment horizontal="left"/>
    </xf>
    <xf numFmtId="0" fontId="0" fillId="0" borderId="14" xfId="0" applyBorder="1" applyAlignment="1" applyProtection="1">
      <alignment horizontal="right"/>
      <protection/>
    </xf>
    <xf numFmtId="0" fontId="78" fillId="0" borderId="23" xfId="0" applyFont="1" applyBorder="1" applyAlignment="1" applyProtection="1">
      <alignment horizontal="left"/>
      <protection/>
    </xf>
    <xf numFmtId="0" fontId="78" fillId="0" borderId="22" xfId="0" applyFont="1" applyBorder="1" applyAlignment="1" applyProtection="1">
      <alignment horizontal="left"/>
      <protection/>
    </xf>
    <xf numFmtId="0" fontId="63" fillId="0" borderId="14" xfId="0" applyFont="1" applyBorder="1" applyAlignment="1" applyProtection="1">
      <alignment horizontal="center"/>
      <protection/>
    </xf>
    <xf numFmtId="0" fontId="63" fillId="0" borderId="19" xfId="0" applyFont="1" applyBorder="1" applyAlignment="1" applyProtection="1">
      <alignment horizontal="center" wrapText="1"/>
      <protection/>
    </xf>
    <xf numFmtId="0" fontId="63" fillId="0" borderId="15" xfId="0" applyFont="1" applyBorder="1" applyAlignment="1" applyProtection="1">
      <alignment horizontal="center" wrapText="1"/>
      <protection/>
    </xf>
    <xf numFmtId="0" fontId="63" fillId="0" borderId="15" xfId="0" applyFont="1" applyFill="1" applyBorder="1" applyAlignment="1" applyProtection="1">
      <alignment horizontal="center" wrapText="1"/>
      <protection/>
    </xf>
    <xf numFmtId="0" fontId="63" fillId="0" borderId="18" xfId="0" applyFont="1" applyFill="1" applyBorder="1" applyAlignment="1" applyProtection="1">
      <alignment horizontal="center"/>
      <protection/>
    </xf>
    <xf numFmtId="0" fontId="63" fillId="0" borderId="20" xfId="0" applyFont="1" applyFill="1" applyBorder="1" applyAlignment="1" applyProtection="1">
      <alignment horizontal="center"/>
      <protection/>
    </xf>
    <xf numFmtId="0" fontId="78" fillId="0" borderId="22" xfId="0" applyFont="1" applyFill="1" applyBorder="1" applyAlignment="1" applyProtection="1">
      <alignment horizontal="left"/>
      <protection/>
    </xf>
    <xf numFmtId="0" fontId="71" fillId="0" borderId="0" xfId="0" applyFont="1" applyAlignment="1">
      <alignment horizontal="left" vertical="center"/>
    </xf>
    <xf numFmtId="49" fontId="4" fillId="0" borderId="2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6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8"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2.57421875" style="6" customWidth="1"/>
    <col min="2" max="2" width="15.421875" style="6" customWidth="1"/>
    <col min="3" max="3" width="17.57421875" style="6" customWidth="1"/>
    <col min="4" max="4" width="14.8515625" style="6" customWidth="1"/>
    <col min="5" max="5" width="20.8515625" style="6" customWidth="1"/>
    <col min="6" max="6" width="14.7109375" style="6" customWidth="1"/>
    <col min="7" max="7" width="13.00390625" style="6" customWidth="1"/>
    <col min="8" max="8" width="7.00390625" style="6" customWidth="1"/>
    <col min="9" max="9" width="13.140625" style="6" customWidth="1"/>
    <col min="10" max="10" width="5.00390625" style="6" customWidth="1"/>
    <col min="11" max="11" width="10.8515625" style="6" hidden="1" customWidth="1"/>
    <col min="12" max="12" width="13.7109375" style="6" customWidth="1"/>
    <col min="13" max="13" width="9.421875" style="6" customWidth="1"/>
    <col min="14" max="16384" width="9.140625" style="6" customWidth="1"/>
  </cols>
  <sheetData>
    <row r="1" spans="1:7" ht="18.75">
      <c r="A1" s="211" t="s">
        <v>158</v>
      </c>
      <c r="B1" s="211"/>
      <c r="G1" s="63" t="s">
        <v>256</v>
      </c>
    </row>
    <row r="2" ht="15">
      <c r="A2" s="6" t="s">
        <v>148</v>
      </c>
    </row>
    <row r="3" ht="15">
      <c r="A3" s="64"/>
    </row>
    <row r="4" spans="1:13" ht="15">
      <c r="A4" s="65" t="s">
        <v>117</v>
      </c>
      <c r="B4" s="210"/>
      <c r="C4" s="210"/>
      <c r="D4" s="215" t="s">
        <v>54</v>
      </c>
      <c r="E4" s="216"/>
      <c r="F4" s="210"/>
      <c r="G4" s="210"/>
      <c r="H4" s="64"/>
      <c r="I4" s="64"/>
      <c r="J4" s="64"/>
      <c r="K4" s="64"/>
      <c r="L4" s="64"/>
      <c r="M4" s="64"/>
    </row>
    <row r="5" spans="1:13" ht="15" customHeight="1">
      <c r="A5" s="66" t="s">
        <v>0</v>
      </c>
      <c r="B5" s="210"/>
      <c r="C5" s="210"/>
      <c r="D5" s="210"/>
      <c r="E5" s="64"/>
      <c r="F5" s="67" t="s">
        <v>39</v>
      </c>
      <c r="G5" s="16"/>
      <c r="H5" s="64" t="s">
        <v>74</v>
      </c>
      <c r="I5" s="214" t="s">
        <v>73</v>
      </c>
      <c r="J5" s="214"/>
      <c r="K5" s="214"/>
      <c r="L5" s="214"/>
      <c r="M5" s="214"/>
    </row>
    <row r="6" spans="1:13" ht="15">
      <c r="A6" s="66" t="s">
        <v>4</v>
      </c>
      <c r="B6" s="212"/>
      <c r="C6" s="217"/>
      <c r="D6" s="217"/>
      <c r="E6" s="217"/>
      <c r="F6" s="217"/>
      <c r="G6" s="213"/>
      <c r="H6" s="86"/>
      <c r="I6" s="214"/>
      <c r="J6" s="214"/>
      <c r="K6" s="214"/>
      <c r="L6" s="214"/>
      <c r="M6" s="214"/>
    </row>
    <row r="7" spans="1:13" ht="15">
      <c r="A7" s="66" t="s">
        <v>40</v>
      </c>
      <c r="B7" s="210"/>
      <c r="C7" s="210"/>
      <c r="D7" s="210"/>
      <c r="E7" s="210"/>
      <c r="F7" s="210"/>
      <c r="G7" s="210"/>
      <c r="H7" s="64"/>
      <c r="I7" s="64"/>
      <c r="J7" s="64"/>
      <c r="K7" s="64"/>
      <c r="L7" s="64"/>
      <c r="M7" s="64"/>
    </row>
    <row r="8" spans="1:13" ht="15">
      <c r="A8" s="66" t="s">
        <v>43</v>
      </c>
      <c r="B8" s="212"/>
      <c r="C8" s="213"/>
      <c r="D8" s="68" t="s">
        <v>42</v>
      </c>
      <c r="E8" s="17" t="s">
        <v>41</v>
      </c>
      <c r="F8" s="69" t="s">
        <v>45</v>
      </c>
      <c r="G8" s="169"/>
      <c r="H8" s="64"/>
      <c r="I8" s="64"/>
      <c r="J8" s="64"/>
      <c r="K8" s="64"/>
      <c r="L8" s="64"/>
      <c r="M8" s="64"/>
    </row>
    <row r="9" spans="1:13" ht="15">
      <c r="A9" s="66" t="s">
        <v>1</v>
      </c>
      <c r="B9" s="210"/>
      <c r="C9" s="210"/>
      <c r="D9" s="210"/>
      <c r="E9" s="210"/>
      <c r="F9" s="210"/>
      <c r="G9" s="210"/>
      <c r="H9" s="64"/>
      <c r="I9" s="64"/>
      <c r="J9" s="64"/>
      <c r="K9" s="64"/>
      <c r="L9" s="64"/>
      <c r="M9" s="64"/>
    </row>
    <row r="10" spans="1:13" ht="15">
      <c r="A10" s="66" t="s">
        <v>43</v>
      </c>
      <c r="B10" s="212"/>
      <c r="C10" s="213"/>
      <c r="D10" s="68" t="s">
        <v>42</v>
      </c>
      <c r="E10" s="17"/>
      <c r="F10" s="69" t="s">
        <v>45</v>
      </c>
      <c r="G10" s="169"/>
      <c r="H10" s="64"/>
      <c r="I10" s="64"/>
      <c r="J10" s="64"/>
      <c r="K10" s="64"/>
      <c r="L10" s="64"/>
      <c r="M10" s="64"/>
    </row>
    <row r="11" spans="1:13" ht="15">
      <c r="A11" s="66" t="s">
        <v>2</v>
      </c>
      <c r="B11" s="212"/>
      <c r="C11" s="213"/>
      <c r="D11" s="70" t="s">
        <v>3</v>
      </c>
      <c r="E11" s="212"/>
      <c r="F11" s="217"/>
      <c r="G11" s="213"/>
      <c r="H11" s="64"/>
      <c r="I11" s="64"/>
      <c r="J11" s="64"/>
      <c r="K11" s="64" t="s">
        <v>118</v>
      </c>
      <c r="L11" s="64"/>
      <c r="M11" s="64"/>
    </row>
    <row r="12" spans="1:13" ht="15">
      <c r="A12" s="71" t="s">
        <v>44</v>
      </c>
      <c r="B12" s="210"/>
      <c r="C12" s="210"/>
      <c r="D12" s="210"/>
      <c r="E12" s="210"/>
      <c r="F12" s="210"/>
      <c r="G12" s="210"/>
      <c r="H12" s="64"/>
      <c r="I12" s="64"/>
      <c r="J12" s="64"/>
      <c r="K12" s="64" t="s">
        <v>119</v>
      </c>
      <c r="L12" s="64"/>
      <c r="M12" s="64"/>
    </row>
    <row r="13" spans="1:13" ht="15">
      <c r="A13" s="71" t="s">
        <v>46</v>
      </c>
      <c r="B13" s="210"/>
      <c r="C13" s="210"/>
      <c r="D13" s="210"/>
      <c r="E13" s="210"/>
      <c r="F13" s="210"/>
      <c r="G13" s="210"/>
      <c r="H13" s="64"/>
      <c r="I13" s="64"/>
      <c r="J13" s="64"/>
      <c r="K13" s="64"/>
      <c r="L13" s="64"/>
      <c r="M13" s="64"/>
    </row>
    <row r="14" spans="1:13" ht="15">
      <c r="A14" s="71" t="s">
        <v>47</v>
      </c>
      <c r="B14" s="210"/>
      <c r="C14" s="210"/>
      <c r="D14" s="210"/>
      <c r="E14" s="210"/>
      <c r="F14" s="210"/>
      <c r="G14" s="210"/>
      <c r="H14" s="64"/>
      <c r="I14" s="64"/>
      <c r="J14" s="64"/>
      <c r="K14" s="64"/>
      <c r="L14" s="64"/>
      <c r="M14" s="64"/>
    </row>
    <row r="15" spans="1:13" ht="15">
      <c r="A15" s="66" t="s">
        <v>43</v>
      </c>
      <c r="B15" s="212"/>
      <c r="C15" s="213"/>
      <c r="D15" s="68" t="s">
        <v>42</v>
      </c>
      <c r="E15" s="17"/>
      <c r="F15" s="69" t="s">
        <v>45</v>
      </c>
      <c r="G15" s="169"/>
      <c r="H15" s="64"/>
      <c r="I15" s="64"/>
      <c r="J15" s="64"/>
      <c r="K15" s="64" t="s">
        <v>120</v>
      </c>
      <c r="L15" s="64"/>
      <c r="M15" s="64"/>
    </row>
    <row r="16" spans="1:13" ht="15">
      <c r="A16" s="72" t="s">
        <v>48</v>
      </c>
      <c r="B16" s="212"/>
      <c r="C16" s="213"/>
      <c r="D16" s="70" t="s">
        <v>3</v>
      </c>
      <c r="E16" s="212"/>
      <c r="F16" s="217"/>
      <c r="G16" s="213"/>
      <c r="H16" s="64"/>
      <c r="I16" s="64"/>
      <c r="J16" s="64"/>
      <c r="K16" s="64" t="s">
        <v>121</v>
      </c>
      <c r="L16" s="64"/>
      <c r="M16" s="64"/>
    </row>
    <row r="17" spans="1:13" ht="15">
      <c r="A17" s="73"/>
      <c r="B17" s="64"/>
      <c r="C17" s="64"/>
      <c r="D17" s="64"/>
      <c r="E17" s="87"/>
      <c r="F17" s="64"/>
      <c r="G17" s="64"/>
      <c r="H17" s="64"/>
      <c r="I17" s="64"/>
      <c r="J17" s="88"/>
      <c r="K17" s="88"/>
      <c r="L17" s="64"/>
      <c r="M17" s="64"/>
    </row>
    <row r="18" spans="1:13" ht="15">
      <c r="A18" s="74" t="s">
        <v>49</v>
      </c>
      <c r="B18" s="68" t="s">
        <v>50</v>
      </c>
      <c r="C18" s="210"/>
      <c r="D18" s="210"/>
      <c r="E18" s="68" t="s">
        <v>51</v>
      </c>
      <c r="F18" s="210"/>
      <c r="G18" s="210"/>
      <c r="H18" s="64"/>
      <c r="I18" s="64"/>
      <c r="J18" s="64"/>
      <c r="K18" s="64"/>
      <c r="L18" s="64"/>
      <c r="M18" s="64"/>
    </row>
    <row r="19" spans="1:13" ht="1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ht="15">
      <c r="A20" s="75" t="s">
        <v>5</v>
      </c>
      <c r="B20" s="208">
        <v>2951</v>
      </c>
      <c r="C20" s="208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1:13" ht="15">
      <c r="A21" s="75" t="s">
        <v>6</v>
      </c>
      <c r="B21" s="208">
        <v>324121</v>
      </c>
      <c r="C21" s="208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1:13" ht="15">
      <c r="A22" s="75" t="s">
        <v>7</v>
      </c>
      <c r="B22" s="208" t="s">
        <v>159</v>
      </c>
      <c r="C22" s="208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1:13" ht="15">
      <c r="A23" s="76"/>
      <c r="B23" s="89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5">
      <c r="A24" s="209" t="s">
        <v>190</v>
      </c>
      <c r="B24" s="209"/>
      <c r="C24" s="17"/>
      <c r="E24" s="64"/>
      <c r="F24" s="64"/>
      <c r="G24" s="64"/>
      <c r="H24" s="64"/>
      <c r="I24" s="64"/>
      <c r="J24" s="64"/>
      <c r="K24" s="64" t="s">
        <v>81</v>
      </c>
      <c r="L24" s="64"/>
      <c r="M24" s="64"/>
    </row>
    <row r="25" spans="1:13" ht="15">
      <c r="A25" s="209" t="s">
        <v>191</v>
      </c>
      <c r="B25" s="209"/>
      <c r="C25" s="17"/>
      <c r="E25" s="64"/>
      <c r="F25" s="64"/>
      <c r="G25" s="64"/>
      <c r="H25" s="64"/>
      <c r="I25" s="64"/>
      <c r="J25" s="64"/>
      <c r="K25" s="64" t="s">
        <v>82</v>
      </c>
      <c r="L25" s="64"/>
      <c r="M25" s="64"/>
    </row>
    <row r="26" spans="1:13" ht="15">
      <c r="A26" s="209" t="s">
        <v>206</v>
      </c>
      <c r="B26" s="209"/>
      <c r="C26" s="17"/>
      <c r="E26" s="64"/>
      <c r="F26" s="64"/>
      <c r="G26" s="64"/>
      <c r="H26" s="64"/>
      <c r="I26" s="64"/>
      <c r="J26" s="64"/>
      <c r="L26" s="64"/>
      <c r="M26" s="64"/>
    </row>
    <row r="27" spans="1:13" ht="1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 t="s">
        <v>194</v>
      </c>
      <c r="L27" s="64"/>
      <c r="M27" s="64"/>
    </row>
    <row r="28" spans="1:13" ht="15">
      <c r="A28" s="83" t="s">
        <v>249</v>
      </c>
      <c r="B28" s="212"/>
      <c r="C28" s="217"/>
      <c r="D28" s="213"/>
      <c r="E28" s="64"/>
      <c r="F28" s="64"/>
      <c r="G28" s="64"/>
      <c r="H28" s="64"/>
      <c r="I28" s="64"/>
      <c r="J28" s="64"/>
      <c r="K28" s="64" t="s">
        <v>195</v>
      </c>
      <c r="L28" s="64"/>
      <c r="M28" s="64"/>
    </row>
    <row r="29" spans="1:13" ht="15">
      <c r="A29" s="108" t="s">
        <v>122</v>
      </c>
      <c r="B29" s="64"/>
      <c r="C29" s="84"/>
      <c r="E29" s="109" t="s">
        <v>123</v>
      </c>
      <c r="F29" s="104" t="s">
        <v>165</v>
      </c>
      <c r="G29" s="105" t="s">
        <v>166</v>
      </c>
      <c r="H29" s="84"/>
      <c r="I29" s="84"/>
      <c r="J29" s="84"/>
      <c r="K29" s="64" t="s">
        <v>251</v>
      </c>
      <c r="L29" s="64"/>
      <c r="M29" s="64"/>
    </row>
    <row r="30" spans="1:13" ht="15" customHeight="1">
      <c r="A30" s="221" t="s">
        <v>124</v>
      </c>
      <c r="B30" s="221"/>
      <c r="C30" s="85"/>
      <c r="E30" s="170" t="s">
        <v>161</v>
      </c>
      <c r="F30" s="183"/>
      <c r="G30" s="184"/>
      <c r="H30" s="84"/>
      <c r="I30" s="218" t="s">
        <v>252</v>
      </c>
      <c r="J30" s="218"/>
      <c r="K30" s="218"/>
      <c r="L30" s="218"/>
      <c r="M30" s="218"/>
    </row>
    <row r="31" spans="1:13" ht="15">
      <c r="A31" s="219" t="s">
        <v>149</v>
      </c>
      <c r="B31" s="220"/>
      <c r="C31" s="184"/>
      <c r="E31" s="170" t="s">
        <v>160</v>
      </c>
      <c r="F31" s="183"/>
      <c r="G31" s="184"/>
      <c r="H31" s="24"/>
      <c r="I31" s="218"/>
      <c r="J31" s="218"/>
      <c r="K31" s="218"/>
      <c r="L31" s="218"/>
      <c r="M31" s="218"/>
    </row>
    <row r="32" spans="1:13" ht="15">
      <c r="A32" s="102"/>
      <c r="B32" s="102"/>
      <c r="C32" s="77"/>
      <c r="E32" s="170" t="s">
        <v>162</v>
      </c>
      <c r="F32" s="17"/>
      <c r="G32" s="17"/>
      <c r="H32" s="24"/>
      <c r="I32" s="218"/>
      <c r="J32" s="218"/>
      <c r="K32" s="218"/>
      <c r="L32" s="218"/>
      <c r="M32" s="218"/>
    </row>
    <row r="33" spans="5:13" ht="15">
      <c r="E33" s="170" t="s">
        <v>163</v>
      </c>
      <c r="F33" s="17"/>
      <c r="G33" s="17"/>
      <c r="H33" s="24"/>
      <c r="I33" s="218"/>
      <c r="J33" s="218"/>
      <c r="K33" s="218"/>
      <c r="L33" s="218"/>
      <c r="M33" s="218"/>
    </row>
    <row r="34" spans="5:13" ht="15">
      <c r="E34" s="101" t="s">
        <v>164</v>
      </c>
      <c r="F34" s="17"/>
      <c r="G34" s="17"/>
      <c r="H34" s="24"/>
      <c r="I34" s="204"/>
      <c r="J34" s="204"/>
      <c r="K34" s="204"/>
      <c r="L34" s="204"/>
      <c r="M34" s="204"/>
    </row>
    <row r="35" spans="4:11" ht="15">
      <c r="D35" s="77"/>
      <c r="E35" s="78"/>
      <c r="F35" s="24"/>
      <c r="G35" s="24"/>
      <c r="H35" s="24"/>
      <c r="I35" s="24"/>
      <c r="J35" s="24"/>
      <c r="K35" s="64" t="s">
        <v>192</v>
      </c>
    </row>
    <row r="36" spans="4:11" ht="15">
      <c r="D36" s="79"/>
      <c r="E36" s="79"/>
      <c r="F36" s="24"/>
      <c r="G36" s="24"/>
      <c r="H36" s="24"/>
      <c r="I36" s="24"/>
      <c r="J36" s="24"/>
      <c r="K36" s="64" t="s">
        <v>193</v>
      </c>
    </row>
    <row r="37" spans="4:10" ht="15">
      <c r="D37" s="24"/>
      <c r="E37" s="24"/>
      <c r="F37" s="24"/>
      <c r="G37" s="80"/>
      <c r="H37" s="24"/>
      <c r="I37" s="77"/>
      <c r="J37" s="24"/>
    </row>
  </sheetData>
  <sheetProtection password="EBF3" sheet="1"/>
  <mergeCells count="31">
    <mergeCell ref="B28:D28"/>
    <mergeCell ref="I30:M33"/>
    <mergeCell ref="B16:C16"/>
    <mergeCell ref="B9:G9"/>
    <mergeCell ref="B10:C10"/>
    <mergeCell ref="E16:G16"/>
    <mergeCell ref="C18:D18"/>
    <mergeCell ref="A31:B31"/>
    <mergeCell ref="A30:B30"/>
    <mergeCell ref="B20:C20"/>
    <mergeCell ref="I5:M6"/>
    <mergeCell ref="B13:G13"/>
    <mergeCell ref="B4:C4"/>
    <mergeCell ref="F4:G4"/>
    <mergeCell ref="D4:E4"/>
    <mergeCell ref="E11:G11"/>
    <mergeCell ref="B11:C11"/>
    <mergeCell ref="B6:G6"/>
    <mergeCell ref="A1:B1"/>
    <mergeCell ref="B5:D5"/>
    <mergeCell ref="B12:G12"/>
    <mergeCell ref="B8:C8"/>
    <mergeCell ref="B15:C15"/>
    <mergeCell ref="B7:G7"/>
    <mergeCell ref="B14:G14"/>
    <mergeCell ref="B22:C22"/>
    <mergeCell ref="A24:B24"/>
    <mergeCell ref="A25:B25"/>
    <mergeCell ref="A26:B26"/>
    <mergeCell ref="F18:G18"/>
    <mergeCell ref="B21:C21"/>
  </mergeCells>
  <dataValidations count="6">
    <dataValidation type="list" allowBlank="1" showInputMessage="1" showErrorMessage="1" sqref="K15:K16">
      <formula1>Employ</formula1>
    </dataValidation>
    <dataValidation type="list" allowBlank="1" showInputMessage="1" showErrorMessage="1" sqref="B4:C4">
      <formula1>Submit</formula1>
    </dataValidation>
    <dataValidation type="list" allowBlank="1" showInputMessage="1" showErrorMessage="1" sqref="C26">
      <formula1>yn</formula1>
    </dataValidation>
    <dataValidation type="list" allowBlank="1" showInputMessage="1" showErrorMessage="1" sqref="F4:G4">
      <formula1>NoEmploy</formula1>
    </dataValidation>
    <dataValidation type="list" allowBlank="1" showInputMessage="1" showErrorMessage="1" sqref="C25">
      <formula1>FuelTypes</formula1>
    </dataValidation>
    <dataValidation type="list" allowBlank="1" showInputMessage="1" showErrorMessage="1" sqref="C24">
      <formula1>Plant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B1">
      <selection activeCell="B1" sqref="B1:C1"/>
    </sheetView>
  </sheetViews>
  <sheetFormatPr defaultColWidth="9.140625" defaultRowHeight="15"/>
  <cols>
    <col min="1" max="1" width="9.00390625" style="19" hidden="1" customWidth="1"/>
    <col min="2" max="2" width="9.00390625" style="19" customWidth="1"/>
    <col min="3" max="3" width="35.28125" style="19" customWidth="1"/>
    <col min="4" max="4" width="12.140625" style="19" customWidth="1"/>
    <col min="5" max="5" width="11.28125" style="19" customWidth="1"/>
    <col min="6" max="6" width="12.421875" style="19" customWidth="1"/>
    <col min="7" max="7" width="26.00390625" style="20" customWidth="1"/>
    <col min="8" max="8" width="28.140625" style="19" customWidth="1"/>
    <col min="9" max="10" width="15.57421875" style="19" customWidth="1"/>
    <col min="11" max="11" width="18.8515625" style="19" customWidth="1"/>
    <col min="12" max="16384" width="9.140625" style="19" customWidth="1"/>
  </cols>
  <sheetData>
    <row r="1" spans="2:3" ht="18.75">
      <c r="B1" s="244" t="s">
        <v>143</v>
      </c>
      <c r="C1" s="244"/>
    </row>
    <row r="2" spans="2:7" s="26" customFormat="1" ht="15">
      <c r="B2" s="247" t="s">
        <v>79</v>
      </c>
      <c r="C2" s="247"/>
      <c r="D2" s="247"/>
      <c r="E2" s="29"/>
      <c r="F2" s="29"/>
      <c r="G2" s="27"/>
    </row>
    <row r="3" spans="2:10" s="26" customFormat="1" ht="15" customHeight="1">
      <c r="B3" s="29"/>
      <c r="C3" s="248" t="s">
        <v>88</v>
      </c>
      <c r="D3" s="248"/>
      <c r="E3" s="248"/>
      <c r="F3" s="248"/>
      <c r="G3" s="248"/>
      <c r="H3" s="248"/>
      <c r="I3" s="248"/>
      <c r="J3" s="248"/>
    </row>
    <row r="4" ht="15.75">
      <c r="B4" s="21" t="s">
        <v>179</v>
      </c>
    </row>
    <row r="5" spans="2:8" ht="15" customHeight="1">
      <c r="B5" s="230" t="s">
        <v>9</v>
      </c>
      <c r="C5" s="222" t="s">
        <v>52</v>
      </c>
      <c r="D5" s="222" t="s">
        <v>83</v>
      </c>
      <c r="E5" s="222" t="s">
        <v>84</v>
      </c>
      <c r="F5" s="222" t="s">
        <v>85</v>
      </c>
      <c r="G5" s="222" t="s">
        <v>180</v>
      </c>
      <c r="H5" s="222" t="str">
        <f>'Facility Information'!G5&amp;" Annual Throughput (tons/yr)"</f>
        <v> Annual Throughput (tons/yr)</v>
      </c>
    </row>
    <row r="6" spans="2:8" ht="15">
      <c r="B6" s="231"/>
      <c r="C6" s="223"/>
      <c r="D6" s="223"/>
      <c r="E6" s="223"/>
      <c r="F6" s="223"/>
      <c r="G6" s="223"/>
      <c r="H6" s="223"/>
    </row>
    <row r="7" spans="1:10" ht="15">
      <c r="A7" s="6"/>
      <c r="B7" s="22"/>
      <c r="C7" s="103">
        <f>IF('Facility Information'!C24="","",'Facility Information'!C24&amp;" - "&amp;'Facility Information'!C25)</f>
      </c>
      <c r="D7" s="18"/>
      <c r="E7" s="18"/>
      <c r="F7" s="18"/>
      <c r="G7" s="22"/>
      <c r="H7" s="23"/>
      <c r="I7" s="129"/>
      <c r="J7" s="107"/>
    </row>
    <row r="8" spans="1:10" ht="15">
      <c r="A8" s="6"/>
      <c r="B8" s="152"/>
      <c r="C8" s="24"/>
      <c r="D8" s="24"/>
      <c r="E8" s="24"/>
      <c r="F8" s="24"/>
      <c r="G8" s="152"/>
      <c r="H8" s="202"/>
      <c r="I8" s="173"/>
      <c r="J8" s="173"/>
    </row>
    <row r="9" spans="2:10" s="24" customFormat="1" ht="15.75">
      <c r="B9" s="21" t="s">
        <v>189</v>
      </c>
      <c r="G9" s="152"/>
      <c r="H9" s="202"/>
      <c r="I9" s="106"/>
      <c r="J9" s="106"/>
    </row>
    <row r="10" spans="2:10" s="24" customFormat="1" ht="15">
      <c r="B10" s="230" t="s">
        <v>9</v>
      </c>
      <c r="C10" s="222" t="s">
        <v>52</v>
      </c>
      <c r="D10" s="222" t="s">
        <v>83</v>
      </c>
      <c r="E10" s="222" t="s">
        <v>84</v>
      </c>
      <c r="F10" s="222" t="s">
        <v>85</v>
      </c>
      <c r="G10" s="222" t="str">
        <f>"Maximum Hourly Capacity ("&amp;A11&amp;"/hr)"</f>
        <v>Maximum Hourly Capacity (/hr)</v>
      </c>
      <c r="H10" s="222" t="str">
        <f>'Facility Information'!G5&amp;" Annual Throughput ("&amp;A11&amp;"/yr)"</f>
        <v> Annual Throughput (/yr)</v>
      </c>
      <c r="I10" s="106"/>
      <c r="J10" s="106"/>
    </row>
    <row r="11" spans="1:10" s="24" customFormat="1" ht="15">
      <c r="A11" s="24">
        <f>IF('Facility Information'!C25="","",IF('Facility Information'!C25="Natural Gas","MMCF","gallons"))</f>
      </c>
      <c r="B11" s="231"/>
      <c r="C11" s="223"/>
      <c r="D11" s="223"/>
      <c r="E11" s="223"/>
      <c r="F11" s="223"/>
      <c r="G11" s="223"/>
      <c r="H11" s="223"/>
      <c r="I11" s="106"/>
      <c r="J11" s="106"/>
    </row>
    <row r="12" spans="1:10" ht="15" customHeight="1">
      <c r="A12" s="6"/>
      <c r="B12" s="22"/>
      <c r="C12" s="103">
        <f>IF('Facility Information'!C25="","",'Facility Information'!C25&amp;" Fired Heater")</f>
      </c>
      <c r="D12" s="18"/>
      <c r="E12" s="18"/>
      <c r="F12" s="18"/>
      <c r="G12" s="22"/>
      <c r="H12" s="23"/>
      <c r="I12" s="251">
        <f>IF(C12="","",IF(C12="Conveyor Transfer Points","Number of Conveyor Points:",""))</f>
      </c>
      <c r="J12" s="252"/>
    </row>
    <row r="13" spans="2:10" s="24" customFormat="1" ht="15">
      <c r="B13" s="152"/>
      <c r="G13" s="152"/>
      <c r="H13" s="202"/>
      <c r="I13" s="106"/>
      <c r="J13" s="106"/>
    </row>
    <row r="14" spans="2:10" s="24" customFormat="1" ht="15.75">
      <c r="B14" s="21" t="s">
        <v>196</v>
      </c>
      <c r="G14" s="152"/>
      <c r="H14" s="202"/>
      <c r="I14" s="106"/>
      <c r="J14" s="106"/>
    </row>
    <row r="15" spans="2:10" s="24" customFormat="1" ht="15">
      <c r="B15" s="230" t="s">
        <v>9</v>
      </c>
      <c r="C15" s="222" t="s">
        <v>52</v>
      </c>
      <c r="D15" s="222" t="s">
        <v>83</v>
      </c>
      <c r="E15" s="222" t="s">
        <v>84</v>
      </c>
      <c r="F15" s="222" t="s">
        <v>85</v>
      </c>
      <c r="G15" s="222" t="s">
        <v>180</v>
      </c>
      <c r="H15" s="222" t="str">
        <f>'Facility Information'!G5&amp;" Annual Throughput (tons/yr)"</f>
        <v> Annual Throughput (tons/yr)</v>
      </c>
      <c r="I15" s="236" t="s">
        <v>197</v>
      </c>
      <c r="J15" s="106"/>
    </row>
    <row r="16" spans="2:10" s="24" customFormat="1" ht="15">
      <c r="B16" s="231"/>
      <c r="C16" s="223"/>
      <c r="D16" s="223"/>
      <c r="E16" s="223"/>
      <c r="F16" s="223"/>
      <c r="G16" s="223"/>
      <c r="H16" s="223"/>
      <c r="I16" s="236"/>
      <c r="J16" s="106"/>
    </row>
    <row r="17" spans="1:10" ht="15">
      <c r="A17" s="6" t="s">
        <v>177</v>
      </c>
      <c r="B17" s="22"/>
      <c r="C17" s="103" t="s">
        <v>177</v>
      </c>
      <c r="D17" s="18"/>
      <c r="E17" s="18"/>
      <c r="F17" s="18"/>
      <c r="G17" s="22"/>
      <c r="H17" s="23"/>
      <c r="I17" s="185"/>
      <c r="J17" s="107"/>
    </row>
    <row r="18" spans="1:10" ht="15">
      <c r="A18" s="6" t="s">
        <v>176</v>
      </c>
      <c r="B18" s="22"/>
      <c r="C18" s="103" t="s">
        <v>176</v>
      </c>
      <c r="D18" s="18"/>
      <c r="E18" s="18"/>
      <c r="F18" s="18"/>
      <c r="G18" s="22"/>
      <c r="H18" s="23"/>
      <c r="I18" s="185"/>
      <c r="J18" s="107"/>
    </row>
    <row r="19" spans="1:10" ht="15">
      <c r="A19" s="6" t="s">
        <v>174</v>
      </c>
      <c r="B19" s="22"/>
      <c r="C19" s="103" t="s">
        <v>174</v>
      </c>
      <c r="D19" s="18"/>
      <c r="E19" s="18"/>
      <c r="F19" s="18"/>
      <c r="G19" s="22"/>
      <c r="H19" s="23"/>
      <c r="I19" s="22"/>
      <c r="J19" s="107"/>
    </row>
    <row r="20" ht="15">
      <c r="A20" s="6"/>
    </row>
    <row r="21" spans="1:2" ht="15.75">
      <c r="A21" s="6"/>
      <c r="B21" s="21" t="s">
        <v>86</v>
      </c>
    </row>
    <row r="22" spans="1:10" ht="15" customHeight="1">
      <c r="A22" s="6"/>
      <c r="B22" s="230" t="s">
        <v>9</v>
      </c>
      <c r="C22" s="222" t="s">
        <v>52</v>
      </c>
      <c r="D22" s="222" t="s">
        <v>83</v>
      </c>
      <c r="E22" s="222" t="s">
        <v>84</v>
      </c>
      <c r="F22" s="222" t="s">
        <v>85</v>
      </c>
      <c r="G22" s="222" t="s">
        <v>243</v>
      </c>
      <c r="H22" s="222" t="s">
        <v>244</v>
      </c>
      <c r="I22" s="232" t="s">
        <v>198</v>
      </c>
      <c r="J22" s="233"/>
    </row>
    <row r="23" spans="1:10" ht="15">
      <c r="A23" s="6"/>
      <c r="B23" s="231"/>
      <c r="C23" s="223"/>
      <c r="D23" s="223"/>
      <c r="E23" s="223"/>
      <c r="F23" s="223"/>
      <c r="G23" s="223"/>
      <c r="H23" s="223"/>
      <c r="I23" s="234"/>
      <c r="J23" s="235"/>
    </row>
    <row r="24" spans="1:10" ht="15">
      <c r="A24" s="6"/>
      <c r="B24" s="22"/>
      <c r="C24" s="103" t="s">
        <v>87</v>
      </c>
      <c r="D24" s="18"/>
      <c r="E24" s="18"/>
      <c r="F24" s="18"/>
      <c r="G24" s="22"/>
      <c r="H24" s="23"/>
      <c r="I24" s="253"/>
      <c r="J24" s="254"/>
    </row>
    <row r="25" ht="15">
      <c r="A25" s="6"/>
    </row>
    <row r="26" spans="1:2" ht="15.75">
      <c r="A26" s="25"/>
      <c r="B26" s="21" t="s">
        <v>115</v>
      </c>
    </row>
    <row r="27" spans="2:11" ht="15" customHeight="1">
      <c r="B27" s="230" t="s">
        <v>9</v>
      </c>
      <c r="C27" s="222" t="s">
        <v>52</v>
      </c>
      <c r="D27" s="222" t="s">
        <v>83</v>
      </c>
      <c r="E27" s="222" t="s">
        <v>84</v>
      </c>
      <c r="F27" s="222" t="s">
        <v>85</v>
      </c>
      <c r="G27" s="228" t="s">
        <v>56</v>
      </c>
      <c r="H27" s="229"/>
      <c r="I27" s="249" t="s">
        <v>59</v>
      </c>
      <c r="J27" s="250"/>
      <c r="K27" s="237" t="s">
        <v>75</v>
      </c>
    </row>
    <row r="28" spans="2:11" ht="15">
      <c r="B28" s="231"/>
      <c r="C28" s="223"/>
      <c r="D28" s="223"/>
      <c r="E28" s="223"/>
      <c r="F28" s="223"/>
      <c r="G28" s="171" t="s">
        <v>57</v>
      </c>
      <c r="H28" s="171" t="s">
        <v>58</v>
      </c>
      <c r="I28" s="176" t="s">
        <v>60</v>
      </c>
      <c r="J28" s="176" t="s">
        <v>61</v>
      </c>
      <c r="K28" s="237"/>
    </row>
    <row r="29" spans="2:11" ht="15">
      <c r="B29" s="22"/>
      <c r="C29" s="114" t="s">
        <v>207</v>
      </c>
      <c r="D29" s="18"/>
      <c r="E29" s="18"/>
      <c r="F29" s="18"/>
      <c r="G29" s="22"/>
      <c r="H29" s="60"/>
      <c r="I29" s="81"/>
      <c r="J29" s="81"/>
      <c r="K29" s="22"/>
    </row>
    <row r="30" ht="15"/>
    <row r="31" spans="2:9" ht="15" customHeight="1">
      <c r="B31" s="238" t="s">
        <v>62</v>
      </c>
      <c r="C31" s="239"/>
      <c r="D31" s="38"/>
      <c r="E31" s="240" t="s">
        <v>63</v>
      </c>
      <c r="F31" s="241"/>
      <c r="G31" s="241"/>
      <c r="H31" s="241"/>
      <c r="I31" s="28"/>
    </row>
    <row r="32" spans="2:9" ht="15" customHeight="1">
      <c r="B32" s="238" t="s">
        <v>64</v>
      </c>
      <c r="C32" s="239"/>
      <c r="D32" s="32">
        <f>IF(G29="","",G29*D31+H29*(1-D31))</f>
      </c>
      <c r="E32" s="242" t="s">
        <v>65</v>
      </c>
      <c r="F32" s="243"/>
      <c r="G32" s="243"/>
      <c r="H32" s="243"/>
      <c r="I32" s="28"/>
    </row>
    <row r="33" spans="2:9" ht="15" customHeight="1">
      <c r="B33" s="238" t="s">
        <v>66</v>
      </c>
      <c r="C33" s="239"/>
      <c r="D33" s="33">
        <f>IF(G29="","",H29-G29)</f>
      </c>
      <c r="E33" s="242" t="s">
        <v>67</v>
      </c>
      <c r="F33" s="243"/>
      <c r="G33" s="243"/>
      <c r="H33" s="243"/>
      <c r="I33" s="28"/>
    </row>
    <row r="34" spans="2:9" ht="15">
      <c r="B34" s="224" t="s">
        <v>68</v>
      </c>
      <c r="C34" s="225"/>
      <c r="D34" s="34">
        <f>IF(G29="","",I29/D33)</f>
      </c>
      <c r="E34" s="226" t="s">
        <v>69</v>
      </c>
      <c r="F34" s="227"/>
      <c r="G34" s="227"/>
      <c r="H34" s="227"/>
      <c r="I34" s="30"/>
    </row>
    <row r="35" spans="2:9" ht="15">
      <c r="B35" s="224" t="s">
        <v>70</v>
      </c>
      <c r="C35" s="225"/>
      <c r="D35" s="34">
        <f>IF(G29="","",J29/D33)</f>
      </c>
      <c r="E35" s="227" t="s">
        <v>71</v>
      </c>
      <c r="F35" s="227"/>
      <c r="G35" s="227"/>
      <c r="H35" s="30"/>
      <c r="I35" s="30"/>
    </row>
    <row r="36" spans="2:10" ht="15" customHeight="1">
      <c r="B36" s="246" t="s">
        <v>72</v>
      </c>
      <c r="C36" s="239"/>
      <c r="D36" s="35">
        <v>10</v>
      </c>
      <c r="E36" s="115" t="s">
        <v>250</v>
      </c>
      <c r="F36" s="37"/>
      <c r="G36" s="37"/>
      <c r="H36" s="37"/>
      <c r="I36" s="37"/>
      <c r="J36" s="37"/>
    </row>
    <row r="37" spans="2:9" ht="15">
      <c r="B37" s="245" t="s">
        <v>80</v>
      </c>
      <c r="C37" s="245"/>
      <c r="D37" s="112">
        <v>100</v>
      </c>
      <c r="E37" s="116" t="s">
        <v>153</v>
      </c>
      <c r="F37" s="31"/>
      <c r="G37" s="31"/>
      <c r="H37" s="31"/>
      <c r="I37" s="31"/>
    </row>
    <row r="38" spans="1:9" ht="15">
      <c r="A38" s="19" t="s">
        <v>126</v>
      </c>
      <c r="B38" s="50"/>
      <c r="C38" s="50" t="s">
        <v>125</v>
      </c>
      <c r="D38" s="36"/>
      <c r="E38" s="49" t="s">
        <v>132</v>
      </c>
      <c r="F38" s="49"/>
      <c r="G38" s="49"/>
      <c r="H38" s="31"/>
      <c r="I38" s="31"/>
    </row>
    <row r="39" spans="2:9" ht="15">
      <c r="B39" s="50"/>
      <c r="C39" s="50"/>
      <c r="D39" s="203"/>
      <c r="E39" s="49"/>
      <c r="F39" s="49"/>
      <c r="G39" s="49"/>
      <c r="H39" s="31"/>
      <c r="I39" s="31"/>
    </row>
    <row r="40" spans="2:11" ht="15" customHeight="1">
      <c r="B40" s="230" t="s">
        <v>9</v>
      </c>
      <c r="C40" s="222" t="s">
        <v>52</v>
      </c>
      <c r="D40" s="237" t="s">
        <v>83</v>
      </c>
      <c r="E40" s="222" t="s">
        <v>84</v>
      </c>
      <c r="F40" s="222" t="s">
        <v>85</v>
      </c>
      <c r="G40" s="228" t="s">
        <v>56</v>
      </c>
      <c r="H40" s="229"/>
      <c r="I40" s="249" t="s">
        <v>59</v>
      </c>
      <c r="J40" s="250"/>
      <c r="K40" s="237" t="s">
        <v>75</v>
      </c>
    </row>
    <row r="41" spans="2:11" ht="15">
      <c r="B41" s="231"/>
      <c r="C41" s="223"/>
      <c r="D41" s="237"/>
      <c r="E41" s="223"/>
      <c r="F41" s="223"/>
      <c r="G41" s="171" t="s">
        <v>57</v>
      </c>
      <c r="H41" s="171" t="s">
        <v>58</v>
      </c>
      <c r="I41" s="176" t="s">
        <v>60</v>
      </c>
      <c r="J41" s="176" t="s">
        <v>61</v>
      </c>
      <c r="K41" s="237"/>
    </row>
    <row r="42" spans="2:11" ht="15">
      <c r="B42" s="22"/>
      <c r="C42" s="114" t="s">
        <v>208</v>
      </c>
      <c r="D42" s="113"/>
      <c r="E42" s="18"/>
      <c r="F42" s="18"/>
      <c r="G42" s="22"/>
      <c r="H42" s="60"/>
      <c r="I42" s="81"/>
      <c r="J42" s="81"/>
      <c r="K42" s="22"/>
    </row>
    <row r="43" ht="15"/>
    <row r="44" spans="2:9" ht="15" customHeight="1">
      <c r="B44" s="238" t="s">
        <v>62</v>
      </c>
      <c r="C44" s="239"/>
      <c r="D44" s="38"/>
      <c r="E44" s="240" t="s">
        <v>63</v>
      </c>
      <c r="F44" s="241"/>
      <c r="G44" s="241"/>
      <c r="H44" s="241"/>
      <c r="I44" s="28"/>
    </row>
    <row r="45" spans="2:9" ht="15" customHeight="1">
      <c r="B45" s="238" t="s">
        <v>64</v>
      </c>
      <c r="C45" s="239"/>
      <c r="D45" s="32">
        <f>IF(G42="","",G42*D44+H42*(1-D44))</f>
      </c>
      <c r="E45" s="242" t="s">
        <v>65</v>
      </c>
      <c r="F45" s="243"/>
      <c r="G45" s="243"/>
      <c r="H45" s="243"/>
      <c r="I45" s="110"/>
    </row>
    <row r="46" spans="2:9" ht="15" customHeight="1">
      <c r="B46" s="238" t="s">
        <v>66</v>
      </c>
      <c r="C46" s="239"/>
      <c r="D46" s="33">
        <f>IF(G42="","",H42-G42)</f>
      </c>
      <c r="E46" s="242" t="s">
        <v>67</v>
      </c>
      <c r="F46" s="243"/>
      <c r="G46" s="243"/>
      <c r="H46" s="243"/>
      <c r="I46" s="110"/>
    </row>
    <row r="47" spans="2:9" ht="15">
      <c r="B47" s="224" t="s">
        <v>68</v>
      </c>
      <c r="C47" s="225"/>
      <c r="D47" s="34">
        <f>IF(G42="","",I42/D46)</f>
      </c>
      <c r="E47" s="226" t="s">
        <v>69</v>
      </c>
      <c r="F47" s="227"/>
      <c r="G47" s="227"/>
      <c r="H47" s="227"/>
      <c r="I47" s="111"/>
    </row>
    <row r="48" spans="2:9" ht="15">
      <c r="B48" s="224" t="s">
        <v>70</v>
      </c>
      <c r="C48" s="225"/>
      <c r="D48" s="34">
        <f>IF(G42="","",J42/D46)</f>
      </c>
      <c r="E48" s="227" t="s">
        <v>71</v>
      </c>
      <c r="F48" s="227"/>
      <c r="G48" s="227"/>
      <c r="H48" s="111"/>
      <c r="I48" s="111"/>
    </row>
    <row r="49" spans="2:10" ht="15" customHeight="1">
      <c r="B49" s="246" t="s">
        <v>72</v>
      </c>
      <c r="C49" s="239"/>
      <c r="D49" s="35">
        <v>10</v>
      </c>
      <c r="E49" s="240" t="s">
        <v>250</v>
      </c>
      <c r="F49" s="241"/>
      <c r="G49" s="241"/>
      <c r="H49" s="241"/>
      <c r="I49" s="241"/>
      <c r="J49" s="37"/>
    </row>
    <row r="50" spans="2:9" ht="15">
      <c r="B50" s="245" t="s">
        <v>80</v>
      </c>
      <c r="C50" s="245"/>
      <c r="D50" s="36">
        <v>100</v>
      </c>
      <c r="E50" s="255" t="s">
        <v>153</v>
      </c>
      <c r="F50" s="256"/>
      <c r="G50" s="256"/>
      <c r="H50" s="256"/>
      <c r="I50" s="49"/>
    </row>
    <row r="51" spans="1:9" ht="15">
      <c r="A51" s="19" t="s">
        <v>126</v>
      </c>
      <c r="B51" s="50"/>
      <c r="C51" s="50" t="s">
        <v>125</v>
      </c>
      <c r="D51" s="36"/>
      <c r="E51" s="49" t="s">
        <v>132</v>
      </c>
      <c r="F51" s="49"/>
      <c r="G51" s="49"/>
      <c r="H51" s="31"/>
      <c r="I51" s="31"/>
    </row>
    <row r="52" ht="15">
      <c r="A52" s="19" t="s">
        <v>82</v>
      </c>
    </row>
    <row r="53" ht="15.75">
      <c r="B53" s="21" t="s">
        <v>152</v>
      </c>
    </row>
    <row r="54" spans="2:11" ht="15" customHeight="1">
      <c r="B54" s="230" t="s">
        <v>9</v>
      </c>
      <c r="C54" s="222" t="s">
        <v>52</v>
      </c>
      <c r="D54" s="222" t="s">
        <v>83</v>
      </c>
      <c r="E54" s="222" t="s">
        <v>84</v>
      </c>
      <c r="F54" s="222" t="s">
        <v>85</v>
      </c>
      <c r="G54" s="228" t="s">
        <v>56</v>
      </c>
      <c r="H54" s="229"/>
      <c r="I54" s="249" t="s">
        <v>59</v>
      </c>
      <c r="J54" s="250"/>
      <c r="K54" s="222" t="s">
        <v>75</v>
      </c>
    </row>
    <row r="55" spans="2:11" ht="15">
      <c r="B55" s="231"/>
      <c r="C55" s="223"/>
      <c r="D55" s="223"/>
      <c r="E55" s="223"/>
      <c r="F55" s="223"/>
      <c r="G55" s="171" t="s">
        <v>57</v>
      </c>
      <c r="H55" s="171" t="s">
        <v>58</v>
      </c>
      <c r="I55" s="176" t="s">
        <v>60</v>
      </c>
      <c r="J55" s="176" t="s">
        <v>61</v>
      </c>
      <c r="K55" s="223"/>
    </row>
    <row r="56" spans="2:11" ht="15">
      <c r="B56" s="22"/>
      <c r="C56" s="114" t="s">
        <v>209</v>
      </c>
      <c r="D56" s="18"/>
      <c r="E56" s="18"/>
      <c r="F56" s="18"/>
      <c r="G56" s="22"/>
      <c r="H56" s="60"/>
      <c r="I56" s="81"/>
      <c r="J56" s="81"/>
      <c r="K56" s="22"/>
    </row>
    <row r="57" ht="15"/>
    <row r="58" spans="2:9" ht="15" customHeight="1">
      <c r="B58" s="238" t="s">
        <v>62</v>
      </c>
      <c r="C58" s="239"/>
      <c r="D58" s="38"/>
      <c r="E58" s="240" t="s">
        <v>63</v>
      </c>
      <c r="F58" s="241"/>
      <c r="G58" s="241"/>
      <c r="H58" s="241"/>
      <c r="I58" s="110"/>
    </row>
    <row r="59" spans="2:9" ht="15" customHeight="1">
      <c r="B59" s="238" t="s">
        <v>64</v>
      </c>
      <c r="C59" s="239"/>
      <c r="D59" s="32">
        <f>IF(G56="","",G56*D58+H56*(1-D58))</f>
      </c>
      <c r="E59" s="242" t="s">
        <v>65</v>
      </c>
      <c r="F59" s="243"/>
      <c r="G59" s="243"/>
      <c r="H59" s="243"/>
      <c r="I59" s="110"/>
    </row>
    <row r="60" spans="2:9" ht="15" customHeight="1">
      <c r="B60" s="238" t="s">
        <v>66</v>
      </c>
      <c r="C60" s="239"/>
      <c r="D60" s="33">
        <f>IF(G56="","",H56-G56)</f>
      </c>
      <c r="E60" s="242" t="s">
        <v>67</v>
      </c>
      <c r="F60" s="243"/>
      <c r="G60" s="243"/>
      <c r="H60" s="243"/>
      <c r="I60" s="110"/>
    </row>
    <row r="61" spans="2:9" ht="15">
      <c r="B61" s="224" t="s">
        <v>68</v>
      </c>
      <c r="C61" s="225"/>
      <c r="D61" s="34">
        <f>IF(G56="","",I56/D60)</f>
      </c>
      <c r="E61" s="226" t="s">
        <v>69</v>
      </c>
      <c r="F61" s="227"/>
      <c r="G61" s="227"/>
      <c r="H61" s="227"/>
      <c r="I61" s="111"/>
    </row>
    <row r="62" spans="2:9" ht="15">
      <c r="B62" s="224" t="s">
        <v>70</v>
      </c>
      <c r="C62" s="225"/>
      <c r="D62" s="34">
        <f>IF(G56="","",J56/D60)</f>
      </c>
      <c r="E62" s="226" t="s">
        <v>71</v>
      </c>
      <c r="F62" s="227"/>
      <c r="G62" s="227"/>
      <c r="H62" s="111"/>
      <c r="I62" s="111"/>
    </row>
    <row r="63" spans="2:10" ht="15" customHeight="1">
      <c r="B63" s="246" t="s">
        <v>72</v>
      </c>
      <c r="C63" s="239"/>
      <c r="D63" s="35">
        <v>8.2</v>
      </c>
      <c r="E63" s="240" t="s">
        <v>253</v>
      </c>
      <c r="F63" s="241"/>
      <c r="G63" s="241"/>
      <c r="H63" s="241"/>
      <c r="I63" s="241"/>
      <c r="J63" s="37"/>
    </row>
    <row r="64" spans="2:9" ht="15" customHeight="1">
      <c r="B64" s="245" t="s">
        <v>80</v>
      </c>
      <c r="C64" s="245"/>
      <c r="D64" s="36">
        <v>100</v>
      </c>
      <c r="E64" s="255" t="s">
        <v>153</v>
      </c>
      <c r="F64" s="256"/>
      <c r="G64" s="256"/>
      <c r="H64" s="256"/>
      <c r="I64" s="49"/>
    </row>
    <row r="65" ht="15">
      <c r="A65" s="6" t="s">
        <v>94</v>
      </c>
    </row>
    <row r="66" spans="2:11" ht="15" customHeight="1">
      <c r="B66" s="230" t="s">
        <v>9</v>
      </c>
      <c r="C66" s="222" t="s">
        <v>52</v>
      </c>
      <c r="D66" s="222" t="s">
        <v>83</v>
      </c>
      <c r="E66" s="222" t="s">
        <v>84</v>
      </c>
      <c r="F66" s="222" t="s">
        <v>85</v>
      </c>
      <c r="G66" s="228" t="s">
        <v>56</v>
      </c>
      <c r="H66" s="229"/>
      <c r="I66" s="249" t="s">
        <v>59</v>
      </c>
      <c r="J66" s="250"/>
      <c r="K66" s="222" t="s">
        <v>75</v>
      </c>
    </row>
    <row r="67" spans="2:11" ht="15">
      <c r="B67" s="231"/>
      <c r="C67" s="223"/>
      <c r="D67" s="223"/>
      <c r="E67" s="223"/>
      <c r="F67" s="223"/>
      <c r="G67" s="171" t="s">
        <v>57</v>
      </c>
      <c r="H67" s="171" t="s">
        <v>58</v>
      </c>
      <c r="I67" s="176" t="s">
        <v>60</v>
      </c>
      <c r="J67" s="176" t="s">
        <v>61</v>
      </c>
      <c r="K67" s="223"/>
    </row>
    <row r="68" spans="2:11" ht="15">
      <c r="B68" s="22"/>
      <c r="C68" s="114" t="s">
        <v>210</v>
      </c>
      <c r="D68" s="18"/>
      <c r="E68" s="18"/>
      <c r="F68" s="18"/>
      <c r="G68" s="22"/>
      <c r="H68" s="60"/>
      <c r="I68" s="81"/>
      <c r="J68" s="81"/>
      <c r="K68" s="22"/>
    </row>
    <row r="69" ht="15"/>
    <row r="70" spans="2:9" ht="15" customHeight="1">
      <c r="B70" s="238" t="s">
        <v>62</v>
      </c>
      <c r="C70" s="239"/>
      <c r="D70" s="38"/>
      <c r="E70" s="240" t="s">
        <v>63</v>
      </c>
      <c r="F70" s="241"/>
      <c r="G70" s="241"/>
      <c r="H70" s="241"/>
      <c r="I70" s="110"/>
    </row>
    <row r="71" spans="2:9" ht="15" customHeight="1">
      <c r="B71" s="238" t="s">
        <v>64</v>
      </c>
      <c r="C71" s="239"/>
      <c r="D71" s="32">
        <f>IF(G68="","",G68*D70+H68*(1-D70))</f>
      </c>
      <c r="E71" s="242" t="s">
        <v>65</v>
      </c>
      <c r="F71" s="243"/>
      <c r="G71" s="243"/>
      <c r="H71" s="243"/>
      <c r="I71" s="110"/>
    </row>
    <row r="72" spans="2:9" ht="15" customHeight="1">
      <c r="B72" s="238" t="s">
        <v>66</v>
      </c>
      <c r="C72" s="239"/>
      <c r="D72" s="33">
        <f>IF(G68="","",H68-G68)</f>
      </c>
      <c r="E72" s="242" t="s">
        <v>67</v>
      </c>
      <c r="F72" s="243"/>
      <c r="G72" s="243"/>
      <c r="H72" s="243"/>
      <c r="I72" s="110"/>
    </row>
    <row r="73" spans="2:9" ht="15">
      <c r="B73" s="224" t="s">
        <v>68</v>
      </c>
      <c r="C73" s="225"/>
      <c r="D73" s="34">
        <f>IF(G68="","",I68/D72)</f>
      </c>
      <c r="E73" s="226" t="s">
        <v>69</v>
      </c>
      <c r="F73" s="227"/>
      <c r="G73" s="227"/>
      <c r="H73" s="227"/>
      <c r="I73" s="111"/>
    </row>
    <row r="74" spans="2:9" ht="15">
      <c r="B74" s="224" t="s">
        <v>70</v>
      </c>
      <c r="C74" s="225"/>
      <c r="D74" s="34">
        <f>IF(G68="","",J68/D72)</f>
      </c>
      <c r="E74" s="226" t="s">
        <v>71</v>
      </c>
      <c r="F74" s="227"/>
      <c r="G74" s="227"/>
      <c r="H74" s="111"/>
      <c r="I74" s="111"/>
    </row>
    <row r="75" spans="2:10" ht="15" customHeight="1">
      <c r="B75" s="246" t="s">
        <v>72</v>
      </c>
      <c r="C75" s="239"/>
      <c r="D75" s="35">
        <v>8.2</v>
      </c>
      <c r="E75" s="240" t="s">
        <v>253</v>
      </c>
      <c r="F75" s="241"/>
      <c r="G75" s="241"/>
      <c r="H75" s="241"/>
      <c r="I75" s="241"/>
      <c r="J75" s="37"/>
    </row>
    <row r="76" spans="2:9" ht="15" customHeight="1">
      <c r="B76" s="245" t="s">
        <v>80</v>
      </c>
      <c r="C76" s="245"/>
      <c r="D76" s="36">
        <v>100</v>
      </c>
      <c r="E76" s="255" t="s">
        <v>153</v>
      </c>
      <c r="F76" s="256"/>
      <c r="G76" s="256"/>
      <c r="H76" s="256"/>
      <c r="I76" s="49"/>
    </row>
    <row r="77" ht="15">
      <c r="A77" s="6" t="s">
        <v>95</v>
      </c>
    </row>
  </sheetData>
  <sheetProtection password="EBF3" sheet="1"/>
  <mergeCells count="121">
    <mergeCell ref="B76:C76"/>
    <mergeCell ref="B73:C73"/>
    <mergeCell ref="E73:H73"/>
    <mergeCell ref="B74:C74"/>
    <mergeCell ref="E74:G74"/>
    <mergeCell ref="B75:C75"/>
    <mergeCell ref="E75:I75"/>
    <mergeCell ref="E76:H76"/>
    <mergeCell ref="E61:H61"/>
    <mergeCell ref="E63:I63"/>
    <mergeCell ref="B70:C70"/>
    <mergeCell ref="E70:H70"/>
    <mergeCell ref="B71:C71"/>
    <mergeCell ref="E71:H71"/>
    <mergeCell ref="E64:H64"/>
    <mergeCell ref="B63:C63"/>
    <mergeCell ref="B64:C64"/>
    <mergeCell ref="B61:C61"/>
    <mergeCell ref="B60:C60"/>
    <mergeCell ref="B72:C72"/>
    <mergeCell ref="E72:H72"/>
    <mergeCell ref="E45:H45"/>
    <mergeCell ref="B66:B67"/>
    <mergeCell ref="C66:C67"/>
    <mergeCell ref="D66:D67"/>
    <mergeCell ref="E66:E67"/>
    <mergeCell ref="F66:F67"/>
    <mergeCell ref="B47:C47"/>
    <mergeCell ref="B49:C49"/>
    <mergeCell ref="E46:H46"/>
    <mergeCell ref="E47:H47"/>
    <mergeCell ref="E49:I49"/>
    <mergeCell ref="B50:C50"/>
    <mergeCell ref="I54:J54"/>
    <mergeCell ref="E50:H50"/>
    <mergeCell ref="B45:C45"/>
    <mergeCell ref="G66:H66"/>
    <mergeCell ref="I66:J66"/>
    <mergeCell ref="K66:K67"/>
    <mergeCell ref="B40:B41"/>
    <mergeCell ref="C40:C41"/>
    <mergeCell ref="B46:C46"/>
    <mergeCell ref="E60:H60"/>
    <mergeCell ref="B48:C48"/>
    <mergeCell ref="E48:G48"/>
    <mergeCell ref="G22:G23"/>
    <mergeCell ref="F22:F23"/>
    <mergeCell ref="E33:H33"/>
    <mergeCell ref="G5:G6"/>
    <mergeCell ref="K40:K41"/>
    <mergeCell ref="B44:C44"/>
    <mergeCell ref="E44:H44"/>
    <mergeCell ref="G40:H40"/>
    <mergeCell ref="I40:J40"/>
    <mergeCell ref="E32:H32"/>
    <mergeCell ref="E34:H34"/>
    <mergeCell ref="B5:B6"/>
    <mergeCell ref="C5:C6"/>
    <mergeCell ref="B34:C34"/>
    <mergeCell ref="E35:G35"/>
    <mergeCell ref="G27:H27"/>
    <mergeCell ref="H22:H23"/>
    <mergeCell ref="E5:E6"/>
    <mergeCell ref="K27:K28"/>
    <mergeCell ref="I27:J27"/>
    <mergeCell ref="I12:J12"/>
    <mergeCell ref="F10:F11"/>
    <mergeCell ref="H5:H6"/>
    <mergeCell ref="I24:J24"/>
    <mergeCell ref="E22:E23"/>
    <mergeCell ref="H15:H16"/>
    <mergeCell ref="E15:E16"/>
    <mergeCell ref="B2:D2"/>
    <mergeCell ref="B31:C31"/>
    <mergeCell ref="B32:C32"/>
    <mergeCell ref="D22:D23"/>
    <mergeCell ref="D5:D6"/>
    <mergeCell ref="E31:H31"/>
    <mergeCell ref="F5:F6"/>
    <mergeCell ref="G10:G11"/>
    <mergeCell ref="C3:J3"/>
    <mergeCell ref="C22:C23"/>
    <mergeCell ref="B1:C1"/>
    <mergeCell ref="B22:B23"/>
    <mergeCell ref="E27:E28"/>
    <mergeCell ref="F27:F28"/>
    <mergeCell ref="D10:D11"/>
    <mergeCell ref="B37:C37"/>
    <mergeCell ref="B36:C36"/>
    <mergeCell ref="B33:C33"/>
    <mergeCell ref="B27:B28"/>
    <mergeCell ref="C27:C28"/>
    <mergeCell ref="B58:C58"/>
    <mergeCell ref="E58:H58"/>
    <mergeCell ref="B59:C59"/>
    <mergeCell ref="B54:B55"/>
    <mergeCell ref="C54:C55"/>
    <mergeCell ref="D54:D55"/>
    <mergeCell ref="E54:E55"/>
    <mergeCell ref="F54:F55"/>
    <mergeCell ref="E59:H59"/>
    <mergeCell ref="B15:B16"/>
    <mergeCell ref="C15:C16"/>
    <mergeCell ref="K54:K55"/>
    <mergeCell ref="I22:J23"/>
    <mergeCell ref="I15:I16"/>
    <mergeCell ref="D27:D28"/>
    <mergeCell ref="D40:D41"/>
    <mergeCell ref="D15:D16"/>
    <mergeCell ref="E40:E41"/>
    <mergeCell ref="F40:F41"/>
    <mergeCell ref="F15:F16"/>
    <mergeCell ref="G15:G16"/>
    <mergeCell ref="E10:E11"/>
    <mergeCell ref="B62:C62"/>
    <mergeCell ref="E62:G62"/>
    <mergeCell ref="G54:H54"/>
    <mergeCell ref="H10:H11"/>
    <mergeCell ref="B35:C35"/>
    <mergeCell ref="B10:B11"/>
    <mergeCell ref="C10:C11"/>
  </mergeCells>
  <conditionalFormatting sqref="J20">
    <cfRule type="expression" priority="65" dxfId="7" stopIfTrue="1">
      <formula>'Facility Processes'!#REF!="Natural Gas Usage (MMCF/yr)"</formula>
    </cfRule>
  </conditionalFormatting>
  <conditionalFormatting sqref="J21">
    <cfRule type="expression" priority="66" dxfId="7" stopIfTrue="1">
      <formula>'Facility Processes'!#REF!="Natural Gas Usage (MMCF/yr)"</formula>
    </cfRule>
  </conditionalFormatting>
  <conditionalFormatting sqref="I7:J15 I17:I19">
    <cfRule type="containsText" priority="19" dxfId="7" operator="containsText" stopIfTrue="1" text="Number of Conveyor Points">
      <formula>NOT(ISERROR(SEARCH("Number of Conveyor Points",I7)))</formula>
    </cfRule>
  </conditionalFormatting>
  <conditionalFormatting sqref="K8:K11">
    <cfRule type="cellIs" priority="17" dxfId="7" operator="equal" stopIfTrue="1">
      <formula>$I$7=""</formula>
    </cfRule>
    <cfRule type="notContainsBlanks" priority="69" dxfId="7" stopIfTrue="1">
      <formula>LEN(TRIM(K8))&gt;0</formula>
    </cfRule>
  </conditionalFormatting>
  <conditionalFormatting sqref="K12:K15">
    <cfRule type="cellIs" priority="13" dxfId="7" operator="equal" stopIfTrue="1">
      <formula>$I$12=""</formula>
    </cfRule>
    <cfRule type="notContainsBlanks" priority="68" dxfId="7" stopIfTrue="1">
      <formula>LEN(TRIM(K12))&gt;0</formula>
    </cfRule>
  </conditionalFormatting>
  <dataValidations count="3">
    <dataValidation type="list" allowBlank="1" showInputMessage="1" showErrorMessage="1" sqref="A26">
      <formula1>"roadcon"</formula1>
    </dataValidation>
    <dataValidation type="list" allowBlank="1" showInputMessage="1" showErrorMessage="1" sqref="D38">
      <formula1>yesnno</formula1>
    </dataValidation>
    <dataValidation type="list" allowBlank="1" showInputMessage="1" showErrorMessage="1" sqref="D51">
      <formula1>yesnno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.421875" style="6" customWidth="1"/>
    <col min="2" max="2" width="8.28125" style="6" customWidth="1"/>
    <col min="3" max="3" width="27.28125" style="6" customWidth="1"/>
    <col min="4" max="4" width="10.8515625" style="6" customWidth="1"/>
    <col min="5" max="5" width="13.140625" style="6" customWidth="1"/>
    <col min="6" max="6" width="9.140625" style="6" customWidth="1"/>
    <col min="7" max="7" width="13.57421875" style="6" customWidth="1"/>
    <col min="8" max="8" width="13.7109375" style="6" customWidth="1"/>
    <col min="9" max="9" width="12.421875" style="6" customWidth="1"/>
    <col min="10" max="10" width="11.57421875" style="6" customWidth="1"/>
    <col min="11" max="11" width="14.57421875" style="6" customWidth="1"/>
    <col min="12" max="12" width="16.8515625" style="6" customWidth="1"/>
    <col min="13" max="13" width="16.421875" style="6" customWidth="1"/>
    <col min="14" max="14" width="13.28125" style="6" hidden="1" customWidth="1"/>
    <col min="15" max="15" width="16.421875" style="6" hidden="1" customWidth="1"/>
    <col min="16" max="16384" width="9.140625" style="6" customWidth="1"/>
  </cols>
  <sheetData>
    <row r="1" spans="1:12" ht="18.75">
      <c r="A1" s="257" t="s">
        <v>92</v>
      </c>
      <c r="B1" s="257"/>
      <c r="C1" s="257"/>
      <c r="D1" s="19"/>
      <c r="E1" s="19"/>
      <c r="F1" s="19"/>
      <c r="G1" s="20"/>
      <c r="H1" s="19"/>
      <c r="I1" s="19"/>
      <c r="J1" s="19"/>
      <c r="K1" s="19"/>
      <c r="L1" s="19"/>
    </row>
    <row r="2" spans="1:12" ht="15.75">
      <c r="A2" s="21"/>
      <c r="B2" s="21"/>
      <c r="C2" s="53" t="s">
        <v>113</v>
      </c>
      <c r="D2" s="52"/>
      <c r="E2" s="52"/>
      <c r="F2" s="54"/>
      <c r="G2" s="52"/>
      <c r="H2" s="52"/>
      <c r="I2" s="19"/>
      <c r="J2" s="19"/>
      <c r="K2" s="19"/>
      <c r="L2" s="19"/>
    </row>
    <row r="3" spans="1:12" ht="15.75">
      <c r="A3" s="21"/>
      <c r="B3" s="21"/>
      <c r="C3" s="96" t="s">
        <v>127</v>
      </c>
      <c r="D3" s="100"/>
      <c r="E3" s="99" t="s">
        <v>114</v>
      </c>
      <c r="F3" s="52"/>
      <c r="G3" s="52"/>
      <c r="H3" s="52"/>
      <c r="I3" s="19"/>
      <c r="J3" s="19"/>
      <c r="K3" s="19"/>
      <c r="L3" s="19"/>
    </row>
    <row r="4" spans="1:12" ht="15.75">
      <c r="A4" s="21"/>
      <c r="B4" s="21"/>
      <c r="C4" s="96" t="s">
        <v>138</v>
      </c>
      <c r="D4" s="56"/>
      <c r="E4" s="99" t="s">
        <v>110</v>
      </c>
      <c r="F4" s="55" t="s">
        <v>128</v>
      </c>
      <c r="G4" s="52"/>
      <c r="H4" s="52"/>
      <c r="I4" s="19"/>
      <c r="J4" s="19"/>
      <c r="K4" s="19"/>
      <c r="L4" s="19"/>
    </row>
    <row r="5" spans="1:12" ht="15.75">
      <c r="A5" s="21"/>
      <c r="B5" s="21"/>
      <c r="C5" s="96" t="s">
        <v>151</v>
      </c>
      <c r="D5" s="56"/>
      <c r="E5" s="99" t="s">
        <v>110</v>
      </c>
      <c r="F5" s="55"/>
      <c r="G5" s="52"/>
      <c r="H5" s="52"/>
      <c r="I5" s="19"/>
      <c r="J5" s="19"/>
      <c r="K5" s="19"/>
      <c r="L5" s="19"/>
    </row>
    <row r="6" spans="1:12" ht="15.75">
      <c r="A6" s="21"/>
      <c r="B6" s="21"/>
      <c r="C6" s="52"/>
      <c r="D6" s="52"/>
      <c r="E6" s="52"/>
      <c r="F6" s="52"/>
      <c r="G6" s="52"/>
      <c r="H6" s="52"/>
      <c r="I6" s="19"/>
      <c r="J6" s="19"/>
      <c r="K6" s="19"/>
      <c r="L6" s="19"/>
    </row>
    <row r="7" spans="1:13" ht="15" customHeight="1">
      <c r="A7" s="260" t="s">
        <v>9</v>
      </c>
      <c r="B7" s="258" t="s">
        <v>112</v>
      </c>
      <c r="C7" s="258" t="s">
        <v>52</v>
      </c>
      <c r="D7" s="258" t="s">
        <v>111</v>
      </c>
      <c r="E7" s="262" t="s">
        <v>147</v>
      </c>
      <c r="F7" s="258" t="s">
        <v>106</v>
      </c>
      <c r="G7" s="258" t="s">
        <v>107</v>
      </c>
      <c r="H7" s="258" t="s">
        <v>108</v>
      </c>
      <c r="I7" s="258" t="s">
        <v>109</v>
      </c>
      <c r="J7" s="258" t="s">
        <v>150</v>
      </c>
      <c r="K7" s="258" t="s">
        <v>129</v>
      </c>
      <c r="L7" s="258" t="str">
        <f>'Facility Information'!A67&amp;" Annual Throughput (gallons/yr)"</f>
        <v> Annual Throughput (gallons/yr)</v>
      </c>
      <c r="M7" s="258" t="s">
        <v>146</v>
      </c>
    </row>
    <row r="8" spans="1:14" ht="15">
      <c r="A8" s="261"/>
      <c r="B8" s="259"/>
      <c r="C8" s="259"/>
      <c r="D8" s="259"/>
      <c r="E8" s="262"/>
      <c r="F8" s="259"/>
      <c r="G8" s="259"/>
      <c r="H8" s="259"/>
      <c r="I8" s="259"/>
      <c r="J8" s="259"/>
      <c r="K8" s="259"/>
      <c r="L8" s="259"/>
      <c r="M8" s="259"/>
      <c r="N8" s="6" t="s">
        <v>134</v>
      </c>
    </row>
    <row r="9" spans="1:14" ht="15">
      <c r="A9" s="93"/>
      <c r="B9" s="93"/>
      <c r="C9" s="94"/>
      <c r="D9" s="93"/>
      <c r="E9" s="201"/>
      <c r="F9" s="95"/>
      <c r="G9" s="95"/>
      <c r="H9" s="95"/>
      <c r="I9" s="95"/>
      <c r="J9" s="95"/>
      <c r="K9" s="98">
        <f>IF(J9="","",J9*0.14)</f>
      </c>
      <c r="L9" s="95"/>
      <c r="M9" s="97">
        <f>IF(L9="","",L9*0.14)</f>
      </c>
      <c r="N9" s="6" t="s">
        <v>133</v>
      </c>
    </row>
    <row r="10" spans="1:13" ht="15">
      <c r="A10" s="93"/>
      <c r="B10" s="93"/>
      <c r="C10" s="94"/>
      <c r="D10" s="93"/>
      <c r="E10" s="201"/>
      <c r="F10" s="95"/>
      <c r="G10" s="95"/>
      <c r="H10" s="95"/>
      <c r="I10" s="95"/>
      <c r="J10" s="95"/>
      <c r="K10" s="98">
        <f>IF(J10="","",J10*0.14)</f>
      </c>
      <c r="L10" s="95"/>
      <c r="M10" s="97">
        <f>IF(L10="","",L10*0.14)</f>
      </c>
    </row>
    <row r="11" spans="1:15" ht="15">
      <c r="A11" s="93"/>
      <c r="B11" s="93"/>
      <c r="C11" s="94"/>
      <c r="D11" s="93"/>
      <c r="E11" s="201"/>
      <c r="F11" s="95"/>
      <c r="G11" s="95"/>
      <c r="H11" s="95"/>
      <c r="I11" s="95"/>
      <c r="J11" s="95"/>
      <c r="K11" s="98">
        <f>IF(J11="","",J11*0.14)</f>
      </c>
      <c r="L11" s="95"/>
      <c r="M11" s="97">
        <f>IF(L11="","",L11*0.14)</f>
      </c>
      <c r="N11" s="6">
        <f>COUNTIF(C9:C13,"Diesel Generator ≤ 600 bhp")</f>
        <v>0</v>
      </c>
      <c r="O11" s="82" t="s">
        <v>136</v>
      </c>
    </row>
    <row r="12" spans="1:15" ht="15">
      <c r="A12" s="93"/>
      <c r="B12" s="93"/>
      <c r="C12" s="94"/>
      <c r="D12" s="93"/>
      <c r="E12" s="201"/>
      <c r="F12" s="95"/>
      <c r="G12" s="95"/>
      <c r="H12" s="95"/>
      <c r="I12" s="95"/>
      <c r="J12" s="95"/>
      <c r="K12" s="98">
        <f>IF(J12="","",J12*0.14)</f>
      </c>
      <c r="L12" s="95"/>
      <c r="M12" s="97">
        <f>IF(L12="","",L12*0.14)</f>
      </c>
      <c r="N12" s="6">
        <f>COUNTIF(C9:C13,"Diesel Generator&gt; 600 bhp")</f>
        <v>0</v>
      </c>
      <c r="O12" s="6" t="s">
        <v>135</v>
      </c>
    </row>
    <row r="13" spans="1:13" ht="15">
      <c r="A13" s="93"/>
      <c r="B13" s="93"/>
      <c r="C13" s="94"/>
      <c r="D13" s="93"/>
      <c r="E13" s="201"/>
      <c r="F13" s="95"/>
      <c r="G13" s="95"/>
      <c r="H13" s="95"/>
      <c r="I13" s="95"/>
      <c r="J13" s="95"/>
      <c r="K13" s="98">
        <f>IF(J13="","",J13*0.14)</f>
      </c>
      <c r="L13" s="95"/>
      <c r="M13" s="97">
        <f>IF(L13="","",L13*0.14)</f>
      </c>
    </row>
  </sheetData>
  <sheetProtection password="EBF3" sheet="1"/>
  <mergeCells count="14">
    <mergeCell ref="F7:F8"/>
    <mergeCell ref="J7:J8"/>
    <mergeCell ref="M7:M8"/>
    <mergeCell ref="K7:K8"/>
    <mergeCell ref="H7:H8"/>
    <mergeCell ref="G7:G8"/>
    <mergeCell ref="I7:I8"/>
    <mergeCell ref="L7:L8"/>
    <mergeCell ref="A1:C1"/>
    <mergeCell ref="D7:D8"/>
    <mergeCell ref="A7:A8"/>
    <mergeCell ref="C7:C8"/>
    <mergeCell ref="B7:B8"/>
    <mergeCell ref="E7:E8"/>
  </mergeCells>
  <dataValidations count="1">
    <dataValidation type="list" allowBlank="1" showInputMessage="1" showErrorMessage="1" sqref="C9:C13">
      <formula1>Gen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2"/>
  <sheetViews>
    <sheetView zoomScalePageLayoutView="0" workbookViewId="0" topLeftCell="B1">
      <selection activeCell="B1" sqref="B1:D1"/>
    </sheetView>
  </sheetViews>
  <sheetFormatPr defaultColWidth="9.140625" defaultRowHeight="15"/>
  <cols>
    <col min="1" max="1" width="4.7109375" style="40" hidden="1" customWidth="1"/>
    <col min="2" max="2" width="5.00390625" style="40" customWidth="1"/>
    <col min="3" max="3" width="35.28125" style="40" customWidth="1"/>
    <col min="4" max="4" width="9.00390625" style="40" bestFit="1" customWidth="1"/>
    <col min="5" max="5" width="11.421875" style="40" customWidth="1"/>
    <col min="6" max="6" width="11.00390625" style="40" bestFit="1" customWidth="1"/>
    <col min="7" max="7" width="11.140625" style="178" customWidth="1"/>
    <col min="8" max="8" width="11.8515625" style="40" customWidth="1"/>
    <col min="9" max="9" width="21.28125" style="40" customWidth="1"/>
    <col min="10" max="10" width="17.8515625" style="40" customWidth="1"/>
    <col min="11" max="11" width="1.7109375" style="40" hidden="1" customWidth="1"/>
    <col min="12" max="12" width="9.28125" style="40" customWidth="1"/>
    <col min="13" max="13" width="17.421875" style="40" customWidth="1"/>
    <col min="14" max="14" width="16.00390625" style="40" customWidth="1"/>
    <col min="15" max="15" width="10.140625" style="40" customWidth="1"/>
    <col min="16" max="16384" width="9.140625" style="40" customWidth="1"/>
  </cols>
  <sheetData>
    <row r="1" spans="2:4" ht="18.75">
      <c r="B1" s="268" t="s">
        <v>141</v>
      </c>
      <c r="C1" s="268"/>
      <c r="D1" s="268"/>
    </row>
    <row r="2" spans="2:7" ht="15" customHeight="1">
      <c r="B2" s="304" t="s">
        <v>255</v>
      </c>
      <c r="C2" s="303"/>
      <c r="D2" s="205"/>
      <c r="G2" s="207"/>
    </row>
    <row r="3" spans="2:15" ht="18.75">
      <c r="B3" s="270" t="s">
        <v>23</v>
      </c>
      <c r="C3" s="270"/>
      <c r="D3" s="47"/>
      <c r="E3" s="6"/>
      <c r="F3" s="6"/>
      <c r="G3" s="7"/>
      <c r="H3" s="6"/>
      <c r="I3" s="6"/>
      <c r="J3" s="237" t="s">
        <v>144</v>
      </c>
      <c r="K3" s="118"/>
      <c r="L3" s="6"/>
      <c r="M3" s="237" t="s">
        <v>145</v>
      </c>
      <c r="N3" s="237" t="s">
        <v>21</v>
      </c>
      <c r="O3" s="237" t="s">
        <v>25</v>
      </c>
    </row>
    <row r="4" spans="2:15" ht="15" customHeight="1">
      <c r="B4" s="272" t="s">
        <v>18</v>
      </c>
      <c r="C4" s="237" t="s">
        <v>19</v>
      </c>
      <c r="D4" s="272" t="s">
        <v>16</v>
      </c>
      <c r="E4" s="237" t="s">
        <v>17</v>
      </c>
      <c r="F4" s="222" t="s">
        <v>53</v>
      </c>
      <c r="G4" s="237" t="s">
        <v>20</v>
      </c>
      <c r="H4" s="222" t="s">
        <v>53</v>
      </c>
      <c r="I4" s="232" t="s">
        <v>218</v>
      </c>
      <c r="J4" s="237"/>
      <c r="K4" s="177"/>
      <c r="L4" s="273" t="s">
        <v>22</v>
      </c>
      <c r="M4" s="237"/>
      <c r="N4" s="237"/>
      <c r="O4" s="237"/>
    </row>
    <row r="5" spans="2:15" ht="15">
      <c r="B5" s="272"/>
      <c r="C5" s="237"/>
      <c r="D5" s="272"/>
      <c r="E5" s="237"/>
      <c r="F5" s="223"/>
      <c r="G5" s="237"/>
      <c r="H5" s="223"/>
      <c r="I5" s="234"/>
      <c r="J5" s="237"/>
      <c r="K5" s="177"/>
      <c r="L5" s="273"/>
      <c r="M5" s="237"/>
      <c r="N5" s="237"/>
      <c r="O5" s="237"/>
    </row>
    <row r="6" spans="2:15" ht="15">
      <c r="B6" s="57">
        <f>IF('Facility Processes'!B7="","",'Facility Processes'!B7)</f>
      </c>
      <c r="C6" s="160">
        <f>IF('Facility Processes'!C7="","",'Facility Processes'!C7)</f>
      </c>
      <c r="D6" s="103">
        <f>IF('Facility Processes'!C7="","",IF('Facility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6" s="57">
        <f>IF('Facility Processes'!G7="","",'Facility Processes'!G7)</f>
      </c>
      <c r="F6" s="57">
        <f>IF('Facility Processes'!G7="","","tons/hr")</f>
      </c>
      <c r="G6" s="161">
        <f>IF('Facility Information'!$C$24="","",IF('Facility Information'!$C$26="yes",LOOKUP('Facility Processes'!C7,'Emission Factors'!$A$12:$A$17,'Emission Factors'!E12:E17),LOOKUP('Facility Processes'!C7,'Emission Factors'!$A$5:$A$10,'Emission Factors'!E5:E10)))</f>
      </c>
      <c r="H6" s="162">
        <f>IF(G6="","","lbs/ton")</f>
      </c>
      <c r="I6" s="126">
        <f>IF(G6="","",LOOKUP(C6,'Emission Factors'!A5:A10,'Emission Factors'!D5:D10))</f>
      </c>
      <c r="J6" s="61">
        <f>IF(G6="","",IF('Facility Information'!$C$26="NO",E6*G6,""))</f>
      </c>
      <c r="K6" s="61"/>
      <c r="L6" s="57"/>
      <c r="M6" s="61">
        <f>IF(G6="","",IF('Facility Information'!$C$26="YES",E6*G6,""))</f>
      </c>
      <c r="N6" s="61">
        <f>IF(G6="","",IF('Facility Information'!$C$30&gt;0,'Facility Information'!$C$30*G6/2000,IF('Facility Information'!$C$31&gt;0,'Facility Information'!$C$31*365*E6*G6/2000,E6*G6*8760/2000)))</f>
      </c>
      <c r="O6" s="61">
        <f>IF('Facility Processes'!C7="","",'Facility Processes'!H7*'Emission Calculations'!G6/2000)</f>
      </c>
    </row>
    <row r="7" spans="2:15" ht="15">
      <c r="B7" s="57">
        <f>IF('Facility Processes'!B17="","",'Facility Processes'!B17)</f>
      </c>
      <c r="C7" s="160">
        <f>IF('Facility Processes'!G17="","",'Facility Processes'!C17)</f>
      </c>
      <c r="D7" s="103">
        <f>IF(C7="","",LOOKUP(C7,'Emission Factors'!A23,'Emission Factors'!C23))</f>
      </c>
      <c r="E7" s="57">
        <f>IF('Facility Processes'!G17="","",'Facility Processes'!G17)</f>
      </c>
      <c r="F7" s="57">
        <f>IF('Facility Processes'!G17="","","tons/hr")</f>
      </c>
      <c r="G7" s="161">
        <f>IF(C7="","",'Emission Factors'!E23)</f>
      </c>
      <c r="H7" s="162">
        <f>IF(G7="","","lbs/ton")</f>
      </c>
      <c r="I7" s="134">
        <f>IF(G7="","",'Emission Factors'!D23)</f>
      </c>
      <c r="J7" s="61">
        <f>IF(G7="","",G7*E7)</f>
      </c>
      <c r="K7" s="61"/>
      <c r="L7" s="57"/>
      <c r="M7" s="61"/>
      <c r="N7" s="61">
        <f>IF(G7="","",IF('Facility Information'!$C$30&gt;0,'Facility Information'!$C$30*G7/2000,IF('Facility Information'!$C$31&gt;0,'Facility Information'!$C$31*365*E7*G7/2000,E7*G7*8760/2000)))</f>
      </c>
      <c r="O7" s="61">
        <f>IF('Facility Processes'!IH17="","",'Facility Processes'!H17*'Emission Calculations'!G7/2000)</f>
      </c>
    </row>
    <row r="8" spans="2:15" ht="15">
      <c r="B8" s="57">
        <f>IF('Facility Processes'!B18="","",'Facility Processes'!B18)</f>
      </c>
      <c r="C8" s="160">
        <f>IF('Facility Processes'!G18="","",'Facility Processes'!C18)</f>
      </c>
      <c r="D8" s="103">
        <f>IF(C8="","",LOOKUP(C8,'Emission Factors'!A24,'Emission Factors'!C24))</f>
      </c>
      <c r="E8" s="57">
        <f>IF('Facility Processes'!G18="","",'Facility Processes'!G18)</f>
      </c>
      <c r="F8" s="57">
        <f>IF('Facility Processes'!G18="","","tons/hr")</f>
      </c>
      <c r="G8" s="161">
        <f>IF(C8="","",'Emission Factors'!E24)</f>
      </c>
      <c r="H8" s="162">
        <f>IF(G8="","","lbs/ton")</f>
      </c>
      <c r="I8" s="134">
        <f>IF(G8="","",'Emission Factors'!D24)</f>
      </c>
      <c r="J8" s="61">
        <f>IF(G8="","",G8*E8)</f>
      </c>
      <c r="K8" s="61"/>
      <c r="L8" s="57"/>
      <c r="M8" s="61"/>
      <c r="N8" s="61">
        <f>IF(G8="","",IF('Facility Information'!$C$30&gt;0,'Facility Information'!$C$30*G8/2000,IF('Facility Information'!$C$31&gt;0,'Facility Information'!$C$31*365*E8*G8/2000,E8*G8*8760/2000)))</f>
      </c>
      <c r="O8" s="61">
        <f>IF('Facility Processes'!IH18="","",'Facility Processes'!H18*'Emission Calculations'!G8/2000)</f>
      </c>
    </row>
    <row r="9" spans="2:15" ht="15">
      <c r="B9" s="57">
        <f>IF('Facility Processes'!B19="","",'Facility Processes'!B19)</f>
      </c>
      <c r="C9" s="160">
        <f>IF('Facility Processes'!G19="","",'Facility Processes'!C19)</f>
      </c>
      <c r="D9" s="103">
        <f>IF(C9="","",LOOKUP(C9,'Emission Factors'!A25,'Emission Factors'!C25))</f>
      </c>
      <c r="E9" s="57">
        <f>IF('Facility Processes'!G19="","",'Facility Processes'!G19)</f>
      </c>
      <c r="F9" s="57">
        <f>IF('Facility Processes'!G19="","","tons/hr")</f>
      </c>
      <c r="G9" s="161">
        <f>IF(C9="","",'Emission Factors'!E25)</f>
      </c>
      <c r="H9" s="162">
        <f>IF(G9="","","lbs/ton")</f>
      </c>
      <c r="I9" s="163">
        <f>IF(G9="","",'Emission Factors'!D25)</f>
      </c>
      <c r="J9" s="61">
        <f>IF(G9="","",IF('Facility Processes'!I19="",G9*E9,G9*E9*'Facility Processes'!I19))</f>
      </c>
      <c r="K9" s="61"/>
      <c r="L9" s="57"/>
      <c r="M9" s="61"/>
      <c r="N9" s="61">
        <f>IF(G9="","",IF('Facility Information'!$C$30&gt;0,'Facility Information'!$C$30*G9/2000,IF('Facility Information'!$C$31&gt;0,'Facility Information'!$C$31*365*E9*G9/2000,E9*G9*8760/2000)))</f>
      </c>
      <c r="O9" s="61">
        <f>IF('Facility Processes'!H19="","",'Facility Processes'!H19*'Emission Calculations'!G9/2000)</f>
      </c>
    </row>
    <row r="10" spans="2:15" ht="15">
      <c r="B10" s="57">
        <f>IF('Facility Processes'!B24="","",'Facility Processes'!B24)</f>
      </c>
      <c r="C10" s="160">
        <f>IF('Facility Processes'!G24="","",'Facility Processes'!C24)</f>
      </c>
      <c r="D10" s="103">
        <f>IF(C10="","",LOOKUP(C10,'Emission Factors'!A26,'Emission Factors'!C26))</f>
      </c>
      <c r="E10" s="57">
        <f>IF('Facility Processes'!G24="","",'Facility Processes'!G24)</f>
      </c>
      <c r="F10" s="57">
        <f>IF('Facility Processes'!G24="","","acre-day")</f>
      </c>
      <c r="G10" s="161">
        <f>IF(C10="","",'Emission Factors'!E26)</f>
      </c>
      <c r="H10" s="162">
        <f>IF(G10="","",'Emission Factors'!F26)</f>
      </c>
      <c r="I10" s="134">
        <f>IF(G10="","",'Emission Factors'!D26)</f>
      </c>
      <c r="J10" s="61">
        <f>IF(G10="","",'Facility Processes'!G24*G10*(1/24))</f>
      </c>
      <c r="K10" s="61"/>
      <c r="L10" s="57"/>
      <c r="M10" s="61"/>
      <c r="N10" s="61">
        <f>IF('Facility Processes'!G24="","",'Facility Processes'!G24*G10*365/2000)</f>
      </c>
      <c r="O10" s="61">
        <f>IF('Facility Processes'!G24="","",'Facility Processes'!H24*'Facility Processes'!I24*G10/2000)</f>
      </c>
    </row>
    <row r="11" spans="2:15" ht="15">
      <c r="B11" s="57">
        <f>IF('Facility Processes'!B29="","",'Facility Processes'!B29)</f>
      </c>
      <c r="C11" s="163">
        <f>IF('Facility Processes'!G29="","",'Facility Processes'!C29)</f>
      </c>
      <c r="D11" s="103">
        <f>IF(C11="","","30500290")</f>
      </c>
      <c r="E11" s="61">
        <f>IF(G11="","",'Facility Processes'!$D$34*'Facility Processes'!$K$29/8760)</f>
      </c>
      <c r="F11" s="57">
        <f>IF(G11="","","vmt/hr")</f>
      </c>
      <c r="G11" s="162">
        <f>IF('Facility Processes'!$G$29="","",(0.15*(('Facility Processes'!$D$36/12)^0.9)*(('Facility Processes'!$D$32/3)^0.45)*((365-'Facility Processes'!$D$37)/365)))</f>
      </c>
      <c r="H11" s="57">
        <f>IF(G11="","","lb/vmt")</f>
      </c>
      <c r="I11" s="134">
        <f>IF(G11="","","AP-42 Ch 13.2.2")</f>
      </c>
      <c r="J11" s="61">
        <f>IF(G11="","",N11/((100-K11)/100)*2000/8760)</f>
      </c>
      <c r="K11" s="136">
        <f>IF(L11="",0,L11)</f>
        <v>0</v>
      </c>
      <c r="L11" s="57">
        <f>IF('Facility Processes'!G29="","",IF('Facility Processes'!D38="NO","",40))</f>
      </c>
      <c r="M11" s="61">
        <f>IF(L11="","",N11*2000/8760)</f>
      </c>
      <c r="N11" s="61">
        <f>IF(G11="","",IF(L11="",G11*'Facility Processes'!$D$34*'Facility Processes'!$K$29/2000,G11*'Facility Processes'!$D$34*'Facility Processes'!$K$29/2000*(100-K11)/100))</f>
      </c>
      <c r="O11" s="61">
        <f>IF(G11="","",IF(L11="",'Facility Processes'!$D$35*'Facility Processes'!$K$29*G11/2000,'Facility Processes'!$D$35*'Facility Processes'!$K$29*G11/2000*((100-L11)/100)))</f>
      </c>
    </row>
    <row r="12" spans="2:15" ht="15">
      <c r="B12" s="57">
        <f>IF('Facility Processes'!B42="","",'Facility Processes'!B42)</f>
      </c>
      <c r="C12" s="163">
        <f>IF('Facility Processes'!G42="","",'Facility Processes'!C42)</f>
      </c>
      <c r="D12" s="103">
        <f>IF(C12="","","30500290")</f>
      </c>
      <c r="E12" s="61">
        <f>IF(G12="","",'Facility Processes'!$D$47*'Facility Processes'!$K$42/8760)</f>
      </c>
      <c r="F12" s="57">
        <f>IF(G12="","","vmt/hr")</f>
      </c>
      <c r="G12" s="162">
        <f>IF('Facility Processes'!$G$42="","",(0.15*(('Facility Processes'!$D$49/12)^0.9)*(('Facility Processes'!$D$45/3)^0.45)*((365-'Facility Processes'!$D$50)/365)))</f>
      </c>
      <c r="H12" s="57">
        <f>IF(G12="","","lb/vmt")</f>
      </c>
      <c r="I12" s="134">
        <f>IF(G12="","","AP-42 Ch 13.2.2")</f>
      </c>
      <c r="J12" s="61">
        <f>IF(G12="","",N12/((100-K12)/100)*2000/8760)</f>
      </c>
      <c r="K12" s="136">
        <f>IF(L12="",0,L12)</f>
        <v>0</v>
      </c>
      <c r="L12" s="57">
        <f>IF('Facility Processes'!G42="","",IF('Facility Processes'!D51="NO","",40))</f>
      </c>
      <c r="M12" s="61">
        <f>IF(L12="","",N12*2000/8760)</f>
      </c>
      <c r="N12" s="61">
        <f>IF(G12="","",IF(L12="",G12*'Facility Processes'!$D$47*'Facility Processes'!$K$42/2000,G12*'Facility Processes'!$D$47*'Facility Processes'!$K$42/2000*(100-K12)/100))</f>
      </c>
      <c r="O12" s="61">
        <f>IF(G12="","",IF(L12="",'Facility Processes'!$D$48*'Facility Processes'!$K$42*G12/2000,'Facility Processes'!$D$48*'Facility Processes'!$K$42*G12/2000*((100-L12)/100)))</f>
      </c>
    </row>
    <row r="13" spans="2:15" ht="15">
      <c r="B13" s="57">
        <f>IF('Facility Processes'!B56="","",'Facility Processes'!B56)</f>
      </c>
      <c r="C13" s="163">
        <f>IF('Facility Processes'!G56="","",'Facility Processes'!C56)</f>
      </c>
      <c r="D13" s="103">
        <f>IF(C13="","","30500290")</f>
      </c>
      <c r="E13" s="61">
        <f>IF(G13="","",'Facility Processes'!$D$61*'Facility Processes'!$K$56/8760)</f>
      </c>
      <c r="F13" s="57">
        <f>IF(G13="","","vmt/hr")</f>
      </c>
      <c r="G13" s="162">
        <f>IF('Facility Processes'!$G$56="","",(0.00054*('Facility Processes'!$D$63^0.91)*('Facility Processes'!$D$59^1.02))*((1-('Facility Processes'!$D$64)/1460)))</f>
      </c>
      <c r="H13" s="57">
        <f>IF(G13="","","lb/vmt")</f>
      </c>
      <c r="I13" s="134">
        <f>IF(G13="","","AP-42 Ch 13.2.1")</f>
      </c>
      <c r="J13" s="61">
        <f>IF(G13="","",N13*2000/8760)</f>
      </c>
      <c r="K13" s="136"/>
      <c r="L13" s="57"/>
      <c r="M13" s="61"/>
      <c r="N13" s="61">
        <f>IF(G13="","",G13*'Facility Processes'!$D$61*'Facility Processes'!$K$56/2000)</f>
      </c>
      <c r="O13" s="61">
        <f>IF(G13="","",'Facility Processes'!$D$62*'Facility Processes'!$K$56*G13/2000)</f>
      </c>
    </row>
    <row r="14" spans="2:15" ht="15">
      <c r="B14" s="57">
        <f>IF('Facility Processes'!B68="","",'Facility Processes'!B68)</f>
      </c>
      <c r="C14" s="163">
        <f>IF('Facility Processes'!G68="","",'Facility Processes'!C68)</f>
      </c>
      <c r="D14" s="103">
        <f>IF(C14="","","30500290")</f>
      </c>
      <c r="E14" s="61">
        <f>IF(G14="","",'Facility Processes'!$D$73*'Facility Processes'!$K$68/8760)</f>
      </c>
      <c r="F14" s="57">
        <f>IF(G14="","","vmt/hr")</f>
      </c>
      <c r="G14" s="162">
        <f>IF('Facility Processes'!$G$68="","",(0.00054*('Facility Processes'!$D$75^0.91)*('Facility Processes'!$D$71^1.02))*((1-('Facility Processes'!$D$76)/1460)))</f>
      </c>
      <c r="H14" s="57">
        <f>IF(G14="","","lb/vmt")</f>
      </c>
      <c r="I14" s="134">
        <f>IF(G14="","","AP-42 Ch 13.2.1")</f>
      </c>
      <c r="J14" s="61">
        <f>IF(G14="","",N14*2000/8760)</f>
      </c>
      <c r="K14" s="136"/>
      <c r="L14" s="57"/>
      <c r="M14" s="167"/>
      <c r="N14" s="61">
        <f>IF(G14="","",G14*'Facility Processes'!$D$73*'Facility Processes'!$K$68/2000)</f>
      </c>
      <c r="O14" s="61">
        <f>IF(G14="","",'Facility Processes'!$D$74*'Facility Processes'!$K$68*G14/2000)</f>
      </c>
    </row>
    <row r="15" spans="2:15" ht="15">
      <c r="B15" s="57">
        <f>IF('Permitted Diesel Engines'!A9="","",'Permitted Diesel Engines'!A9)</f>
      </c>
      <c r="C15" s="160">
        <f>IF('Permitted Diesel Engines'!C9="","",'Permitted Diesel Engines'!C9)</f>
      </c>
      <c r="D15" s="103">
        <f>IF('Permitted Diesel Engines'!C9="","",LOOKUP('Permitted Diesel Engines'!C9,'Emission Factors'!A44:A45,'Emission Factors'!C44:C45))</f>
      </c>
      <c r="E15" s="57">
        <f>IF('Permitted Diesel Engines'!C9="","",'Permitted Diesel Engines'!K9)</f>
      </c>
      <c r="F15" s="57">
        <f>IF('Permitted Diesel Engines'!C9="","","MMBtu/hr")</f>
      </c>
      <c r="G15" s="162">
        <f>IF('Permitted Diesel Engines'!C9="","",LOOKUP('Permitted Diesel Engines'!C9,'Emission Factors'!$A$44:$A$45,'Emission Factors'!$E$44:$E$45))</f>
      </c>
      <c r="H15" s="57">
        <f>IF('Permitted Diesel Engines'!C9="","",LOOKUP('Permitted Diesel Engines'!C9,'Emission Factors'!$A$44:$A$45,'Emission Factors'!$D$44:$D$45))</f>
      </c>
      <c r="I15" s="134">
        <f>IF('Permitted Diesel Engines'!C9="","",LOOKUP('Permitted Diesel Engines'!C9,'Emission Factors'!$A$44:$A$45,'Emission Factors'!$F$44:$F$45))</f>
      </c>
      <c r="J15" s="61">
        <f>IF('Permitted Diesel Engines'!C9="","",'Emission Calculations'!E15*'Emission Calculations'!G15)</f>
      </c>
      <c r="K15" s="61"/>
      <c r="L15" s="57"/>
      <c r="M15" s="61"/>
      <c r="N15" s="61">
        <f>IF(G15="","",IF('Permitted Diesel Engines'!D3&gt;0,IF('Permitted Diesel Engines'!N11&gt;0,'Permitted Diesel Engines'!D3*0.14*'Emission Factors'!E44/2000,'Permitted Diesel Engines'!D3*0.14*'Emission Factors'!E45/2000),IF('Permitted Diesel Engines'!E9&gt;0,'Permitted Diesel Engines'!E9*'Emission Calculations'!G15*E15/2000,'Emission Calculations'!J15*8760/2000)))</f>
      </c>
      <c r="O15" s="61">
        <f>IF('Permitted Diesel Engines'!C9="","",'Permitted Diesel Engines'!L9*0.14*'Emission Calculations'!G15/2000)</f>
      </c>
    </row>
    <row r="16" spans="2:15" ht="15">
      <c r="B16" s="57">
        <f>IF('Permitted Diesel Engines'!A10="","",'Permitted Diesel Engines'!A10)</f>
      </c>
      <c r="C16" s="160">
        <f>IF('Permitted Diesel Engines'!C10="","",'Permitted Diesel Engines'!C10)</f>
      </c>
      <c r="D16" s="103">
        <f>IF('Permitted Diesel Engines'!C10="","",LOOKUP('Permitted Diesel Engines'!C10,'Emission Factors'!$A$44:$A$45,'Emission Factors'!$C$44:$C$45))</f>
      </c>
      <c r="E16" s="57">
        <f>IF('Permitted Diesel Engines'!C10="","",'Permitted Diesel Engines'!K10)</f>
      </c>
      <c r="F16" s="57">
        <f>IF('Permitted Diesel Engines'!C10="","","MMBtu/hr")</f>
      </c>
      <c r="G16" s="162">
        <f>IF('Permitted Diesel Engines'!C10="","",LOOKUP('Permitted Diesel Engines'!C10,'Emission Factors'!$A$44:$A$45,'Emission Factors'!$E$44:$E$45))</f>
      </c>
      <c r="H16" s="57">
        <f>IF('Permitted Diesel Engines'!C10="","",LOOKUP('Permitted Diesel Engines'!C10,'Emission Factors'!$A$44:$A$45,'Emission Factors'!$D$44:$D$45))</f>
      </c>
      <c r="I16" s="134">
        <f>IF('Permitted Diesel Engines'!C10="","",LOOKUP('Permitted Diesel Engines'!C10,'Emission Factors'!$A$44:$A$45,'Emission Factors'!$F$44:$F$45))</f>
      </c>
      <c r="J16" s="61">
        <f>IF('Permitted Diesel Engines'!C10="","",'Emission Calculations'!E16*'Emission Calculations'!G16)</f>
      </c>
      <c r="K16" s="61"/>
      <c r="L16" s="57"/>
      <c r="M16" s="61"/>
      <c r="N16" s="61">
        <f>IF(G16="","",IF('Permitted Diesel Engines'!$D$3&gt;0,"",IF('Permitted Diesel Engines'!E10&gt;0,'Permitted Diesel Engines'!E10*'Emission Calculations'!G16*E16/2000,'Emission Calculations'!J16*8760/2000)))</f>
      </c>
      <c r="O16" s="61">
        <f>IF('Permitted Diesel Engines'!C10="","",'Permitted Diesel Engines'!L10*0.14*'Emission Calculations'!G16/2000)</f>
      </c>
    </row>
    <row r="17" spans="2:15" ht="15">
      <c r="B17" s="57">
        <f>IF('Permitted Diesel Engines'!A11="","",'Permitted Diesel Engines'!A11)</f>
      </c>
      <c r="C17" s="160">
        <f>IF('Permitted Diesel Engines'!C11="","",'Permitted Diesel Engines'!C11)</f>
      </c>
      <c r="D17" s="103">
        <f>IF('Permitted Diesel Engines'!C11="","",LOOKUP('Permitted Diesel Engines'!C11,'Emission Factors'!$A$44:$A$45,'Emission Factors'!$C$44:$C$45))</f>
      </c>
      <c r="E17" s="57">
        <f>IF('Permitted Diesel Engines'!C11="","",'Permitted Diesel Engines'!K11)</f>
      </c>
      <c r="F17" s="57">
        <f>IF('Permitted Diesel Engines'!C11="","","MMBtu/hr")</f>
      </c>
      <c r="G17" s="162">
        <f>IF('Permitted Diesel Engines'!C11="","",LOOKUP('Permitted Diesel Engines'!C11,'Emission Factors'!$A$44:$A$45,'Emission Factors'!$E$44:$E$45))</f>
      </c>
      <c r="H17" s="57">
        <f>IF('Permitted Diesel Engines'!C11="","",LOOKUP('Permitted Diesel Engines'!C11,'Emission Factors'!$A$44:$A$45,'Emission Factors'!$D$44:$D$45))</f>
      </c>
      <c r="I17" s="134">
        <f>IF('Permitted Diesel Engines'!C11="","",LOOKUP('Permitted Diesel Engines'!C11,'Emission Factors'!$A$44:$A$45,'Emission Factors'!$F$44:$F$45))</f>
      </c>
      <c r="J17" s="61">
        <f>IF('Permitted Diesel Engines'!C11="","",'Emission Calculations'!E17*'Emission Calculations'!G17)</f>
      </c>
      <c r="K17" s="61"/>
      <c r="L17" s="57"/>
      <c r="M17" s="61"/>
      <c r="N17" s="61">
        <f>IF(G17="","",IF('Permitted Diesel Engines'!$D$3&gt;0,"",IF('Permitted Diesel Engines'!E11&gt;0,'Permitted Diesel Engines'!E11*'Emission Calculations'!G17*E17/2000,'Emission Calculations'!J17*8760/2000)))</f>
      </c>
      <c r="O17" s="61">
        <f>IF('Permitted Diesel Engines'!C11="","",'Permitted Diesel Engines'!L11*0.14*'Emission Calculations'!G17/2000)</f>
      </c>
    </row>
    <row r="18" spans="2:15" ht="15">
      <c r="B18" s="57">
        <f>IF('Permitted Diesel Engines'!A12="","",'Permitted Diesel Engines'!A12)</f>
      </c>
      <c r="C18" s="160">
        <f>IF('Permitted Diesel Engines'!C12="","",'Permitted Diesel Engines'!C12)</f>
      </c>
      <c r="D18" s="103">
        <f>IF('Permitted Diesel Engines'!C12="","",LOOKUP('Permitted Diesel Engines'!C12,'Emission Factors'!$A$44:$A$45,'Emission Factors'!$C$44:$C$45))</f>
      </c>
      <c r="E18" s="57">
        <f>IF('Permitted Diesel Engines'!C12="","",'Permitted Diesel Engines'!K12)</f>
      </c>
      <c r="F18" s="57">
        <f>IF('Permitted Diesel Engines'!C12="","","MMBtu/hr")</f>
      </c>
      <c r="G18" s="162">
        <f>IF('Permitted Diesel Engines'!C12="","",LOOKUP('Permitted Diesel Engines'!C12,'Emission Factors'!$A$44:$A$45,'Emission Factors'!$E$44:$E$45))</f>
      </c>
      <c r="H18" s="57">
        <f>IF('Permitted Diesel Engines'!C12="","",LOOKUP('Permitted Diesel Engines'!C12,'Emission Factors'!$A$44:$A$45,'Emission Factors'!$D$44:$D$45))</f>
      </c>
      <c r="I18" s="134">
        <f>IF('Permitted Diesel Engines'!C12="","",LOOKUP('Permitted Diesel Engines'!C12,'Emission Factors'!$A$44:$A$45,'Emission Factors'!$F$44:$F$45))</f>
      </c>
      <c r="J18" s="61">
        <f>IF('Permitted Diesel Engines'!C12="","",'Emission Calculations'!E18*'Emission Calculations'!G18)</f>
      </c>
      <c r="K18" s="61"/>
      <c r="L18" s="57"/>
      <c r="M18" s="61"/>
      <c r="N18" s="61">
        <f>IF(G18="","",IF('Permitted Diesel Engines'!$D$3&gt;0,"",IF('Permitted Diesel Engines'!E12&gt;0,'Permitted Diesel Engines'!E12*'Emission Calculations'!G18*E18/2000,'Emission Calculations'!J18*8760/2000)))</f>
      </c>
      <c r="O18" s="61">
        <f>IF('Permitted Diesel Engines'!C12="","",'Permitted Diesel Engines'!L12*0.14*'Emission Calculations'!G18/2000)</f>
      </c>
    </row>
    <row r="19" spans="2:15" ht="15">
      <c r="B19" s="57">
        <f>IF('Permitted Diesel Engines'!A13="","",'Permitted Diesel Engines'!A13)</f>
      </c>
      <c r="C19" s="160">
        <f>IF('Permitted Diesel Engines'!C13="","",'Permitted Diesel Engines'!C13)</f>
      </c>
      <c r="D19" s="103">
        <f>IF('Permitted Diesel Engines'!C13="","",LOOKUP('Permitted Diesel Engines'!C13,'Emission Factors'!$A$44:$A$45,'Emission Factors'!$C$44:$C$45))</f>
      </c>
      <c r="E19" s="57">
        <f>IF('Permitted Diesel Engines'!C13="","",'Permitted Diesel Engines'!K13)</f>
      </c>
      <c r="F19" s="57">
        <f>IF('Permitted Diesel Engines'!C13="","","MMBtu/hr")</f>
      </c>
      <c r="G19" s="162">
        <f>IF('Permitted Diesel Engines'!C13="","",LOOKUP('Permitted Diesel Engines'!C13,'Emission Factors'!$A$44:$A$45,'Emission Factors'!$E$44:$E$45))</f>
      </c>
      <c r="H19" s="57">
        <f>IF('Permitted Diesel Engines'!C13="","",LOOKUP('Permitted Diesel Engines'!C13,'Emission Factors'!$A$44:$A$45,'Emission Factors'!$D$44:$D$45))</f>
      </c>
      <c r="I19" s="134">
        <f>IF('Permitted Diesel Engines'!C13="","",LOOKUP('Permitted Diesel Engines'!C13,'Emission Factors'!$A$44:$A$45,'Emission Factors'!$F$44:$F$45))</f>
      </c>
      <c r="J19" s="61">
        <f>IF('Permitted Diesel Engines'!C13="","",'Emission Calculations'!E19*'Emission Calculations'!G19)</f>
      </c>
      <c r="K19" s="61"/>
      <c r="L19" s="57"/>
      <c r="M19" s="61"/>
      <c r="N19" s="61">
        <f>IF(G19="","",IF('Permitted Diesel Engines'!$D$3&gt;0,"",IF('Permitted Diesel Engines'!E13&gt;0,'Permitted Diesel Engines'!E13*'Emission Calculations'!G19*E19/2000,'Emission Calculations'!J19*8760/2000)))</f>
      </c>
      <c r="O19" s="61">
        <f>IF('Permitted Diesel Engines'!C13="","",'Permitted Diesel Engines'!L13*0.14*'Emission Calculations'!G19/2000)</f>
      </c>
    </row>
    <row r="20" spans="2:15" ht="15">
      <c r="B20" s="7"/>
      <c r="C20" s="6"/>
      <c r="D20" s="6"/>
      <c r="E20" s="7"/>
      <c r="F20" s="7"/>
      <c r="G20" s="7"/>
      <c r="H20" s="7"/>
      <c r="I20" s="7"/>
      <c r="J20" s="10"/>
      <c r="K20" s="10"/>
      <c r="L20" s="7"/>
      <c r="M20" s="48" t="s">
        <v>38</v>
      </c>
      <c r="N20" s="48">
        <f>SUM(N6:N19)</f>
        <v>0</v>
      </c>
      <c r="O20" s="48">
        <f>SUM(O6:O19)</f>
        <v>0</v>
      </c>
    </row>
    <row r="21" spans="2:15" ht="15">
      <c r="B21" s="7"/>
      <c r="C21" s="6"/>
      <c r="D21" s="6"/>
      <c r="E21" s="7"/>
      <c r="F21" s="7"/>
      <c r="G21" s="7"/>
      <c r="H21" s="7"/>
      <c r="I21" s="7"/>
      <c r="J21" s="10"/>
      <c r="K21" s="10"/>
      <c r="L21" s="7"/>
      <c r="M21" s="90"/>
      <c r="N21" s="90"/>
      <c r="O21" s="90"/>
    </row>
    <row r="22" spans="2:15" ht="18.75">
      <c r="B22" s="270" t="s">
        <v>24</v>
      </c>
      <c r="C22" s="270"/>
      <c r="D22" s="47"/>
      <c r="E22" s="7"/>
      <c r="F22" s="7"/>
      <c r="G22" s="7"/>
      <c r="H22" s="6"/>
      <c r="I22" s="6"/>
      <c r="J22" s="237" t="s">
        <v>144</v>
      </c>
      <c r="K22" s="118"/>
      <c r="L22" s="6"/>
      <c r="M22" s="237" t="s">
        <v>145</v>
      </c>
      <c r="N22" s="237" t="s">
        <v>21</v>
      </c>
      <c r="O22" s="237" t="s">
        <v>25</v>
      </c>
    </row>
    <row r="23" spans="2:15" ht="15" customHeight="1">
      <c r="B23" s="272" t="s">
        <v>18</v>
      </c>
      <c r="C23" s="237" t="s">
        <v>19</v>
      </c>
      <c r="D23" s="272" t="s">
        <v>16</v>
      </c>
      <c r="E23" s="237" t="s">
        <v>17</v>
      </c>
      <c r="F23" s="222" t="s">
        <v>53</v>
      </c>
      <c r="G23" s="237" t="s">
        <v>20</v>
      </c>
      <c r="H23" s="222" t="s">
        <v>53</v>
      </c>
      <c r="I23" s="232" t="s">
        <v>218</v>
      </c>
      <c r="J23" s="237"/>
      <c r="K23" s="172"/>
      <c r="L23" s="237" t="s">
        <v>22</v>
      </c>
      <c r="M23" s="237"/>
      <c r="N23" s="237"/>
      <c r="O23" s="237"/>
    </row>
    <row r="24" spans="2:15" ht="15">
      <c r="B24" s="272"/>
      <c r="C24" s="237"/>
      <c r="D24" s="272"/>
      <c r="E24" s="237"/>
      <c r="F24" s="223"/>
      <c r="G24" s="237"/>
      <c r="H24" s="223"/>
      <c r="I24" s="234"/>
      <c r="J24" s="237"/>
      <c r="K24" s="172"/>
      <c r="L24" s="237"/>
      <c r="M24" s="237"/>
      <c r="N24" s="237"/>
      <c r="O24" s="237"/>
    </row>
    <row r="25" spans="2:15" ht="15">
      <c r="B25" s="57">
        <f>IF('Facility Processes'!B7="","",'Facility Processes'!B7)</f>
      </c>
      <c r="C25" s="103">
        <f>IF('Facility Processes'!C7="","",'Facility Processes'!C7)</f>
      </c>
      <c r="D25" s="103">
        <f>IF('Facility Processes'!C7="","",IF('Facility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25" s="57">
        <f>IF('Facility Processes'!G7="","",'Facility Processes'!G7)</f>
      </c>
      <c r="F25" s="57">
        <f>IF('Facility Processes'!G7="","","tons/hr")</f>
      </c>
      <c r="G25" s="161">
        <f>IF('Facility Information'!$C$24="","",IF('Facility Information'!$C$26="yes",LOOKUP('Facility Processes'!C7,'Emission Factors'!$A$12:$A$17,'Emission Factors'!G12:G17),LOOKUP('Facility Processes'!C7,'Emission Factors'!$A$5:$A$10,'Emission Factors'!G5:G10)))</f>
      </c>
      <c r="H25" s="57">
        <f>IF(G25="","","lbs/ton")</f>
      </c>
      <c r="I25" s="126">
        <f>IF(G25="","",LOOKUP(C25,'Emission Factors'!A5:A10,'Emission Factors'!D5:D10))</f>
      </c>
      <c r="J25" s="61">
        <f>IF(G25="","",IF('Facility Information'!$C$26="NO",E25*G25,""))</f>
      </c>
      <c r="K25" s="61"/>
      <c r="L25" s="57"/>
      <c r="M25" s="61">
        <f>IF(G25="","",IF('Facility Information'!F30&gt;0,'Facility Information'!F30,IF('Facility Information'!$C$26="YES",E25*G25,"")))</f>
      </c>
      <c r="N25" s="61">
        <f>IF(G25="","",IF('Facility Information'!G30&gt;0,'Facility Information'!G30,IF('Facility Information'!$C$30&gt;0,'Facility Information'!$C$30*G25/2000,IF('Facility Information'!$C$31&gt;0,'Facility Information'!$C$31*365*G25/2000,E25*G25*8760/2000))))</f>
      </c>
      <c r="O25" s="61">
        <f>IF('Facility Processes'!C7="","",'Facility Processes'!H7*G25/2000)</f>
      </c>
    </row>
    <row r="26" spans="2:15" ht="15">
      <c r="B26" s="57">
        <f>IF('Facility Processes'!$B$17="","",'Facility Processes'!$B$17)</f>
      </c>
      <c r="C26" s="103">
        <f>IF('Facility Processes'!$G$17="","",'Facility Processes'!$C$17)</f>
      </c>
      <c r="D26" s="103">
        <f>IF(C26="","",LOOKUP(C26,'Emission Factors'!$A$23,'Emission Factors'!$C$23))</f>
      </c>
      <c r="E26" s="57">
        <f>IF('Facility Processes'!$G$17="","",'Facility Processes'!$G$17)</f>
      </c>
      <c r="F26" s="57">
        <f>IF('Facility Processes'!$G$17="","","tons/hr")</f>
      </c>
      <c r="G26" s="161">
        <f>IF(C26="","",'Emission Factors'!$G$23)</f>
      </c>
      <c r="H26" s="57">
        <f>IF(G26="","","lbs/ton")</f>
      </c>
      <c r="I26" s="134">
        <f>IF(G26="","",'Emission Factors'!$D$23)</f>
      </c>
      <c r="J26" s="61">
        <f>IF(G26="","",G26*E26)</f>
      </c>
      <c r="K26" s="61"/>
      <c r="L26" s="57"/>
      <c r="M26" s="61"/>
      <c r="N26" s="61">
        <f>IF('Facility Processes'!G17="","",IF('Facility Information'!$C$30&gt;0,'Facility Information'!$C$30*G26/2000,IF('Facility Information'!$C$31&gt;0,'Facility Information'!$C$31*365*G26*E26/2000,E26*G26*8760/2000)))</f>
      </c>
      <c r="O26" s="61">
        <f>IF('Facility Processes'!H17="","",'Facility Processes'!H17*G26/2000)</f>
      </c>
    </row>
    <row r="27" spans="2:15" ht="15">
      <c r="B27" s="57">
        <f>IF('Facility Processes'!$B$18="","",'Facility Processes'!$B$18)</f>
      </c>
      <c r="C27" s="103">
        <f>IF('Facility Processes'!$G$18="","",'Facility Processes'!$C$18)</f>
      </c>
      <c r="D27" s="103">
        <f>IF(C27="","",LOOKUP(C27,'Emission Factors'!$A$24,'Emission Factors'!$C$24))</f>
      </c>
      <c r="E27" s="57">
        <f>IF('Facility Processes'!$G$18="","",'Facility Processes'!$G$18)</f>
      </c>
      <c r="F27" s="57">
        <f>IF('Facility Processes'!$G$18="","","tons/hr")</f>
      </c>
      <c r="G27" s="161">
        <f>IF(C27="","",'Emission Factors'!$G$24)</f>
      </c>
      <c r="H27" s="57">
        <f>IF(G27="","","lbs/ton")</f>
      </c>
      <c r="I27" s="134">
        <f>IF(G27="","",'Emission Factors'!$D$24)</f>
      </c>
      <c r="J27" s="61">
        <f>IF(G27="","",G27*E27)</f>
      </c>
      <c r="K27" s="61"/>
      <c r="L27" s="57"/>
      <c r="M27" s="61"/>
      <c r="N27" s="61">
        <f>IF('Facility Processes'!G18="","",IF('Facility Information'!$C$30&gt;0,'Facility Information'!$C$30*G27/2000,IF('Facility Information'!$C$31&gt;0,'Facility Information'!$C$31*365*G27*E27/2000,E27*G27*8760/2000)))</f>
      </c>
      <c r="O27" s="61">
        <f>IF('Facility Processes'!H18="","",'Facility Processes'!H18*G27/2000)</f>
      </c>
    </row>
    <row r="28" spans="2:15" ht="15">
      <c r="B28" s="57">
        <f>IF('Facility Processes'!$B$19="","",'Facility Processes'!$B$19)</f>
      </c>
      <c r="C28" s="103">
        <f>IF('Facility Processes'!$G$19="","",'Facility Processes'!$C$19)</f>
      </c>
      <c r="D28" s="103">
        <f>IF(C28="","",LOOKUP(C28,'Emission Factors'!$A$25,'Emission Factors'!$C$25))</f>
      </c>
      <c r="E28" s="57">
        <f>IF('Facility Processes'!$G$19="","",'Facility Processes'!$G$19)</f>
      </c>
      <c r="F28" s="57">
        <f>IF('Facility Processes'!$G$19="","","tons/hr")</f>
      </c>
      <c r="G28" s="161">
        <f>IF(C28="","",'Emission Factors'!$G$25)</f>
      </c>
      <c r="H28" s="57">
        <f>IF(G28="","","lbs/ton")</f>
      </c>
      <c r="I28" s="163">
        <f>IF(G28="","",'Emission Factors'!$D$25)</f>
      </c>
      <c r="J28" s="61">
        <f>IF(G28="","",IF('Facility Processes'!$I$19="",G28*E28,G28*E28*'Facility Processes'!$I$19))</f>
      </c>
      <c r="K28" s="61"/>
      <c r="L28" s="57"/>
      <c r="M28" s="61"/>
      <c r="N28" s="61">
        <f>IF('Facility Processes'!G19="","",IF('Facility Information'!$C$30&gt;0,'Facility Information'!$C$30*G28/2000,IF('Facility Information'!$C$31&gt;0,'Facility Information'!$C$31*365*G28*E28/2000,E28*G28*8760/2000)))</f>
      </c>
      <c r="O28" s="61">
        <f>IF('Facility Processes'!H19="","",'Facility Processes'!H19*G28/2000)</f>
      </c>
    </row>
    <row r="29" spans="2:15" ht="15">
      <c r="B29" s="57">
        <f>IF('Facility Processes'!B24="","",'Facility Processes'!B24)</f>
      </c>
      <c r="C29" s="103">
        <f>IF('Facility Processes'!G24="","",'Facility Processes'!C24)</f>
      </c>
      <c r="D29" s="103">
        <f>IF(C29="","",LOOKUP(C29,'Emission Factors'!A26,'Emission Factors'!C26))</f>
      </c>
      <c r="E29" s="57">
        <f>IF('Facility Processes'!G24="","",'Facility Processes'!G24)</f>
      </c>
      <c r="F29" s="57">
        <f>IF('Facility Processes'!G24="","","acre-day")</f>
      </c>
      <c r="G29" s="161">
        <f>IF(C29="","",'Emission Factors'!G26)</f>
      </c>
      <c r="H29" s="57">
        <f>IF(G29="","",'Emission Factors'!H26)</f>
      </c>
      <c r="I29" s="134">
        <f>IF(G29="","",'Emission Factors'!D26)</f>
      </c>
      <c r="J29" s="61">
        <f>IF(G29="","",'Facility Processes'!G24*G29*(1/24))</f>
      </c>
      <c r="K29" s="61"/>
      <c r="L29" s="57"/>
      <c r="M29" s="61"/>
      <c r="N29" s="61">
        <f>IF('Facility Processes'!G24="","",'Facility Processes'!G24*G29*365/2000)</f>
      </c>
      <c r="O29" s="61">
        <f>IF('Facility Processes'!G24="","",'Facility Processes'!H24*'Facility Processes'!I24*G29/2000)</f>
      </c>
    </row>
    <row r="30" spans="2:15" ht="15">
      <c r="B30" s="57">
        <f>IF('Facility Processes'!B29="","",'Facility Processes'!B29)</f>
      </c>
      <c r="C30" s="114">
        <f>IF('Facility Processes'!G29="","",'Facility Processes'!C29)</f>
      </c>
      <c r="D30" s="103">
        <f>IF(C30="","","30500290")</f>
      </c>
      <c r="E30" s="61">
        <f>IF(G30="","",'Facility Processes'!$D$34*'Facility Processes'!$K$29/8760)</f>
      </c>
      <c r="F30" s="57">
        <f>IF(G30="","","vmt/hr")</f>
      </c>
      <c r="G30" s="162">
        <f>IF('Facility Processes'!$G$29="","",(1.5*(('Facility Processes'!$D$36/12)^0.9)*(('Facility Processes'!$D$32/3)^0.45)*((365-'Facility Processes'!$D$37)/365)))</f>
      </c>
      <c r="H30" s="57">
        <f>IF(G30="","","lb/vmt")</f>
      </c>
      <c r="I30" s="134">
        <f>IF(G30="","","AP-42 Ch 13.2.2")</f>
      </c>
      <c r="J30" s="61">
        <f>IF(G30="","",N30/((100-K30)/100)*2000/8760)</f>
      </c>
      <c r="K30" s="136">
        <f>IF(L30="",0,L30)</f>
        <v>0</v>
      </c>
      <c r="L30" s="57">
        <f>IF('Facility Processes'!$G$29="","",IF('Facility Processes'!$D$38="NO","",40))</f>
      </c>
      <c r="M30" s="61">
        <f>IF(L30="","",N30*2000/8760)</f>
      </c>
      <c r="N30" s="61">
        <f>IF(G30="","",IF(L30="",G30*'Facility Processes'!$D$34*'Facility Processes'!$K$29/2000,G30*'Facility Processes'!$D$34*'Facility Processes'!$K$29/2000*(100-K30)/100))</f>
      </c>
      <c r="O30" s="61">
        <f>IF(G30="","",IF(L30="",'Facility Processes'!$D$35*'Facility Processes'!$K$29*G30/2000,'Facility Processes'!$D$35*'Facility Processes'!$K$29*G30/2000*((100-K30)/100)))</f>
      </c>
    </row>
    <row r="31" spans="2:15" ht="15">
      <c r="B31" s="57">
        <f>IF('Facility Processes'!B42="","",'Facility Processes'!B42)</f>
      </c>
      <c r="C31" s="114">
        <f>IF('Facility Processes'!G42="","",'Facility Processes'!C42)</f>
      </c>
      <c r="D31" s="103">
        <f>IF(C31="","","30500290")</f>
      </c>
      <c r="E31" s="61">
        <f>IF(G31="","",'Facility Processes'!$D$47*'Facility Processes'!$K$42/8760)</f>
      </c>
      <c r="F31" s="57">
        <f>IF(G31="","","vmt/hr")</f>
      </c>
      <c r="G31" s="162">
        <f>IF('Facility Processes'!$G$42="","",(1.5*(('Facility Processes'!$D$49/12)^0.9)*(('Facility Processes'!$D$45/3)^0.45)*((365-'Facility Processes'!$D$50)/365)))</f>
      </c>
      <c r="H31" s="57">
        <f>IF(G31="","","lb/vmt")</f>
      </c>
      <c r="I31" s="134">
        <f>IF(G31="","","AP-42 Ch 13.2.2")</f>
      </c>
      <c r="J31" s="61">
        <f>IF(G31="","",N31/((100-K31)/100)*2000/8760)</f>
      </c>
      <c r="K31" s="136">
        <f>IF(L31="",0,L31)</f>
        <v>0</v>
      </c>
      <c r="L31" s="57">
        <f>IF('Facility Processes'!$G$42="","",IF('Facility Processes'!$D$51="NO","",40))</f>
      </c>
      <c r="M31" s="61">
        <f>IF(L31="","",N31*2000/8760)</f>
      </c>
      <c r="N31" s="61">
        <f>IF(G31="","",IF(L31="",G31*'Facility Processes'!$D$47*'Facility Processes'!$K$42/2000,G31*'Facility Processes'!$D$47*'Facility Processes'!$K$42/2000*(100-K31)/100))</f>
      </c>
      <c r="O31" s="61">
        <f>IF(G31="","",IF(L31="",'Facility Processes'!$D$48*'Facility Processes'!$K$42*G31/2000,'Facility Processes'!$D$48*'Facility Processes'!$K$42*G31/2000*((100-K31)/100)))</f>
      </c>
    </row>
    <row r="32" spans="2:15" ht="15">
      <c r="B32" s="57">
        <f>IF('Facility Processes'!B56="","",'Facility Processes'!B56)</f>
      </c>
      <c r="C32" s="114">
        <f>IF('Facility Processes'!G56="","",'Facility Processes'!C56)</f>
      </c>
      <c r="D32" s="103">
        <f>IF(C32="","","30500290")</f>
      </c>
      <c r="E32" s="61">
        <f>IF(G32="","",'Facility Processes'!$D$61*'Facility Processes'!$K$56/8760)</f>
      </c>
      <c r="F32" s="57">
        <f>IF(G32="","","vmt/hr")</f>
      </c>
      <c r="G32" s="162">
        <f>IF('Facility Processes'!$G$56="","",(0.0022*('Facility Processes'!$D$63^0.91)*('Facility Processes'!$D$59^1.02))*((1-('Facility Processes'!$D$64)/1460)))</f>
      </c>
      <c r="H32" s="57">
        <f>IF(G32="","","lb/vmt")</f>
      </c>
      <c r="I32" s="134">
        <f>IF(G32="","","AP-42 Ch 13.2.1")</f>
      </c>
      <c r="J32" s="61">
        <f>IF(G32="","",N32*2000/8760)</f>
      </c>
      <c r="K32" s="136"/>
      <c r="L32" s="57"/>
      <c r="M32" s="61"/>
      <c r="N32" s="61">
        <f>IF(G32="","",G32*'Facility Processes'!$D$61*'Facility Processes'!$K$56/2000)</f>
      </c>
      <c r="O32" s="61">
        <f>IF(G32="","",'Facility Processes'!$D$62*'Facility Processes'!$K$56*G32/2000)</f>
      </c>
    </row>
    <row r="33" spans="2:15" ht="15">
      <c r="B33" s="57">
        <f>IF('Facility Processes'!B68="","",'Facility Processes'!B68)</f>
      </c>
      <c r="C33" s="114">
        <f>IF('Facility Processes'!G68="","",'Facility Processes'!C68)</f>
      </c>
      <c r="D33" s="103">
        <f>IF(C33="","","30500290")</f>
      </c>
      <c r="E33" s="61">
        <f>IF(G33="","",'Facility Processes'!$D$73*'Facility Processes'!$K$68/8760)</f>
      </c>
      <c r="F33" s="57">
        <f>IF(G33="","","vmt/hr")</f>
      </c>
      <c r="G33" s="162">
        <f>IF('Facility Processes'!$G$68="","",(0.0022*('Facility Processes'!$D$75^0.91)*('Facility Processes'!$D$71^1.02))*((1-('Facility Processes'!$D$76)/1460)))</f>
      </c>
      <c r="H33" s="57">
        <f>IF(G33="","","lb/vmt")</f>
      </c>
      <c r="I33" s="134">
        <f>IF(G33="","","AP-42 Ch 13.2.1")</f>
      </c>
      <c r="J33" s="61">
        <f>IF(G33="","",N33*2000/8760)</f>
      </c>
      <c r="K33" s="136"/>
      <c r="L33" s="57"/>
      <c r="M33" s="167"/>
      <c r="N33" s="61">
        <f>IF(G33="","",G33*'Facility Processes'!$D$73*'Facility Processes'!$K$68/2000)</f>
      </c>
      <c r="O33" s="61">
        <f>IF(G33="","",'Facility Processes'!$D$74*'Facility Processes'!$K$68*G33/2000)</f>
      </c>
    </row>
    <row r="34" spans="2:15" ht="15">
      <c r="B34" s="57">
        <f>IF('Permitted Diesel Engines'!A9="","",'Permitted Diesel Engines'!A9)</f>
      </c>
      <c r="C34" s="160">
        <f>IF('Permitted Diesel Engines'!C9="","",'Permitted Diesel Engines'!C9)</f>
      </c>
      <c r="D34" s="103">
        <f>IF('Permitted Diesel Engines'!C9="","",LOOKUP('Permitted Diesel Engines'!C9,'Emission Factors'!$A$44:$A$45,'Emission Factors'!$C$44:$C$45))</f>
      </c>
      <c r="E34" s="57">
        <f>IF('Permitted Diesel Engines'!C9="","",'Permitted Diesel Engines'!K9)</f>
      </c>
      <c r="F34" s="57">
        <f>IF('Permitted Diesel Engines'!C9="","","MMBtu/hr")</f>
      </c>
      <c r="G34" s="162">
        <f>IF('Permitted Diesel Engines'!C9="","",LOOKUP('Permitted Diesel Engines'!C9,'Emission Factors'!$A$44:$A$45,'Emission Factors'!$G$44:$G$45))</f>
      </c>
      <c r="H34" s="57">
        <f>IF('Permitted Diesel Engines'!C9="","",LOOKUP('Permitted Diesel Engines'!C9,'Emission Factors'!$A$44:$A$45,'Emission Factors'!$D$44:$D$45))</f>
      </c>
      <c r="I34" s="134">
        <f>IF('Permitted Diesel Engines'!C9="","",LOOKUP('Permitted Diesel Engines'!C9,'Emission Factors'!$A$44:$A$45,'Emission Factors'!$H$44:$H$45))</f>
      </c>
      <c r="J34" s="61">
        <f>IF('Permitted Diesel Engines'!C9="","",E34*G34)</f>
      </c>
      <c r="K34" s="61"/>
      <c r="L34" s="57"/>
      <c r="M34" s="61"/>
      <c r="N34" s="61">
        <f>IF(G34="","",IF('Permitted Diesel Engines'!D3&gt;0,IF('Permitted Diesel Engines'!N11&gt;0,'Permitted Diesel Engines'!D3*0.14*'Emission Factors'!G44/2000,'Permitted Diesel Engines'!D3*0.14*'Emission Factors'!G45/2000),IF('Permitted Diesel Engines'!E9&gt;0,'Permitted Diesel Engines'!E9*'Emission Calculations'!G34*E34/2000,'Emission Calculations'!J34*8760/2000)))</f>
      </c>
      <c r="O34" s="61">
        <f>IF('Permitted Diesel Engines'!C9="","",'Permitted Diesel Engines'!L9*0.14*'Emission Calculations'!G34/2000)</f>
      </c>
    </row>
    <row r="35" spans="2:15" ht="15">
      <c r="B35" s="57">
        <f>IF('Permitted Diesel Engines'!A10="","",'Permitted Diesel Engines'!A10)</f>
      </c>
      <c r="C35" s="160">
        <f>IF('Permitted Diesel Engines'!C10="","",'Permitted Diesel Engines'!C10)</f>
      </c>
      <c r="D35" s="103">
        <f>IF('Permitted Diesel Engines'!C10="","",LOOKUP('Permitted Diesel Engines'!C10,'Emission Factors'!$A$44:$A$45,'Emission Factors'!$C$44:$C$45))</f>
      </c>
      <c r="E35" s="57">
        <f>IF('Permitted Diesel Engines'!C10="","",'Permitted Diesel Engines'!K10)</f>
      </c>
      <c r="F35" s="57">
        <f>IF('Permitted Diesel Engines'!C10="","","MMBtu/hr")</f>
      </c>
      <c r="G35" s="162">
        <f>IF('Permitted Diesel Engines'!C10="","",LOOKUP('Permitted Diesel Engines'!C10,'Emission Factors'!$A$44:$A$45,'Emission Factors'!$G$44:$G$45))</f>
      </c>
      <c r="H35" s="57">
        <f>IF('Permitted Diesel Engines'!C10="","",LOOKUP('Permitted Diesel Engines'!C10,'Emission Factors'!$A$44:$A$45,'Emission Factors'!$D$44:$D$45))</f>
      </c>
      <c r="I35" s="134">
        <f>IF('Permitted Diesel Engines'!C10="","",LOOKUP('Permitted Diesel Engines'!C10,'Emission Factors'!$A$44:$A$45,'Emission Factors'!$H$44:$H$45))</f>
      </c>
      <c r="J35" s="61">
        <f>IF('Permitted Diesel Engines'!C10="","",E35*G35)</f>
      </c>
      <c r="K35" s="61"/>
      <c r="L35" s="57"/>
      <c r="M35" s="61"/>
      <c r="N35" s="61">
        <f>IF(G35="","",IF('Permitted Diesel Engines'!$D$3&gt;0,"",IF('Permitted Diesel Engines'!E9&gt;0,'Permitted Diesel Engines'!E9*'Emission Calculations'!G35*E35/2000,'Emission Calculations'!J35*8760/2000)))</f>
      </c>
      <c r="O35" s="61">
        <f>IF('Permitted Diesel Engines'!C10="","",'Permitted Diesel Engines'!L10*0.14*'Emission Calculations'!G35/2000)</f>
      </c>
    </row>
    <row r="36" spans="2:15" ht="15">
      <c r="B36" s="57">
        <f>IF('Permitted Diesel Engines'!A11="","",'Permitted Diesel Engines'!A11)</f>
      </c>
      <c r="C36" s="160">
        <f>IF('Permitted Diesel Engines'!C11="","",'Permitted Diesel Engines'!C11)</f>
      </c>
      <c r="D36" s="103">
        <f>IF('Permitted Diesel Engines'!C11="","",LOOKUP('Permitted Diesel Engines'!C11,'Emission Factors'!$A$44:$A$45,'Emission Factors'!$C$44:$C$45))</f>
      </c>
      <c r="E36" s="57">
        <f>IF('Permitted Diesel Engines'!C11="","",'Permitted Diesel Engines'!K11)</f>
      </c>
      <c r="F36" s="57">
        <f>IF('Permitted Diesel Engines'!C11="","","MMBtu/hr")</f>
      </c>
      <c r="G36" s="162">
        <f>IF('Permitted Diesel Engines'!C11="","",LOOKUP('Permitted Diesel Engines'!C11,'Emission Factors'!$A$44:$A$45,'Emission Factors'!$G$44:$G$45))</f>
      </c>
      <c r="H36" s="57">
        <f>IF('Permitted Diesel Engines'!C11="","",LOOKUP('Permitted Diesel Engines'!C11,'Emission Factors'!$A$44:$A$45,'Emission Factors'!$D$44:$D$45))</f>
      </c>
      <c r="I36" s="134">
        <f>IF('Permitted Diesel Engines'!C11="","",LOOKUP('Permitted Diesel Engines'!C11,'Emission Factors'!$A$44:$A$45,'Emission Factors'!$H$44:$H$45))</f>
      </c>
      <c r="J36" s="61">
        <f>IF('Permitted Diesel Engines'!C11="","",E36*G36)</f>
      </c>
      <c r="K36" s="61"/>
      <c r="L36" s="57"/>
      <c r="M36" s="61"/>
      <c r="N36" s="61">
        <f>IF(G36="","",IF('Permitted Diesel Engines'!$D$3&gt;0,"",IF('Permitted Diesel Engines'!E10&gt;0,'Permitted Diesel Engines'!E10*'Emission Calculations'!G36*E36/2000,'Emission Calculations'!J36*8760/2000)))</f>
      </c>
      <c r="O36" s="61">
        <f>IF('Permitted Diesel Engines'!C11="","",'Permitted Diesel Engines'!L11*0.14*'Emission Calculations'!G36/2000)</f>
      </c>
    </row>
    <row r="37" spans="2:15" ht="15">
      <c r="B37" s="57">
        <f>IF('Permitted Diesel Engines'!A12="","",'Permitted Diesel Engines'!A12)</f>
      </c>
      <c r="C37" s="160">
        <f>IF('Permitted Diesel Engines'!C12="","",'Permitted Diesel Engines'!C12)</f>
      </c>
      <c r="D37" s="103">
        <f>IF('Permitted Diesel Engines'!C12="","",LOOKUP('Permitted Diesel Engines'!C12,'Emission Factors'!$A$44:$A$45,'Emission Factors'!$C$44:$C$45))</f>
      </c>
      <c r="E37" s="57">
        <f>IF('Permitted Diesel Engines'!C12="","",'Permitted Diesel Engines'!K12)</f>
      </c>
      <c r="F37" s="57">
        <f>IF('Permitted Diesel Engines'!C12="","","MMBtu/hr")</f>
      </c>
      <c r="G37" s="162">
        <f>IF('Permitted Diesel Engines'!C12="","",LOOKUP('Permitted Diesel Engines'!C12,'Emission Factors'!$A$44:$A$45,'Emission Factors'!$G$44:$G$45))</f>
      </c>
      <c r="H37" s="57">
        <f>IF('Permitted Diesel Engines'!C12="","",LOOKUP('Permitted Diesel Engines'!C12,'Emission Factors'!$A$44:$A$45,'Emission Factors'!$D$44:$D$45))</f>
      </c>
      <c r="I37" s="134">
        <f>IF('Permitted Diesel Engines'!C12="","",LOOKUP('Permitted Diesel Engines'!C12,'Emission Factors'!$A$44:$A$45,'Emission Factors'!$H$44:$H$45))</f>
      </c>
      <c r="J37" s="61">
        <f>IF('Permitted Diesel Engines'!C12="","",E37*G37)</f>
      </c>
      <c r="K37" s="61"/>
      <c r="L37" s="57"/>
      <c r="M37" s="61"/>
      <c r="N37" s="61">
        <f>IF(G37="","",IF('Permitted Diesel Engines'!$D$3&gt;0,"",IF('Permitted Diesel Engines'!E11&gt;0,'Permitted Diesel Engines'!E11*'Emission Calculations'!G37*E37/2000,'Emission Calculations'!J37*8760/2000)))</f>
      </c>
      <c r="O37" s="61">
        <f>IF('Permitted Diesel Engines'!C12="","",'Permitted Diesel Engines'!L12*0.14*'Emission Calculations'!G37/2000)</f>
      </c>
    </row>
    <row r="38" spans="2:15" ht="15">
      <c r="B38" s="57">
        <f>IF('Permitted Diesel Engines'!A13="","",'Permitted Diesel Engines'!A13)</f>
      </c>
      <c r="C38" s="160">
        <f>IF('Permitted Diesel Engines'!C13="","",'Permitted Diesel Engines'!C13)</f>
      </c>
      <c r="D38" s="103">
        <f>IF('Permitted Diesel Engines'!C13="","",LOOKUP('Permitted Diesel Engines'!C13,'Emission Factors'!$A$44:$A$45,'Emission Factors'!$C$44:$C$45))</f>
      </c>
      <c r="E38" s="57">
        <f>IF('Permitted Diesel Engines'!C13="","",'Permitted Diesel Engines'!K13)</f>
      </c>
      <c r="F38" s="57">
        <f>IF('Permitted Diesel Engines'!C13="","","MMBtu/hr")</f>
      </c>
      <c r="G38" s="162">
        <f>IF('Permitted Diesel Engines'!C13="","",LOOKUP('Permitted Diesel Engines'!C13,'Emission Factors'!$A$44:$A$45,'Emission Factors'!$G$44:$G$45))</f>
      </c>
      <c r="H38" s="57">
        <f>IF('Permitted Diesel Engines'!C13="","",LOOKUP('Permitted Diesel Engines'!C13,'Emission Factors'!$A$44:$A$45,'Emission Factors'!$D$44:$D$45))</f>
      </c>
      <c r="I38" s="134">
        <f>IF('Permitted Diesel Engines'!C13="","",LOOKUP('Permitted Diesel Engines'!C13,'Emission Factors'!$A$44:$A$45,'Emission Factors'!$H$44:$H$45))</f>
      </c>
      <c r="J38" s="61">
        <f>IF('Permitted Diesel Engines'!C13="","",E38*G38)</f>
      </c>
      <c r="K38" s="61"/>
      <c r="L38" s="57"/>
      <c r="M38" s="61"/>
      <c r="N38" s="61">
        <f>IF(G38="","",IF('Permitted Diesel Engines'!$D$3&gt;0,"",IF('Permitted Diesel Engines'!E12&gt;0,'Permitted Diesel Engines'!E12*'Emission Calculations'!G38*E38/2000,'Emission Calculations'!J38*8760/2000)))</f>
      </c>
      <c r="O38" s="61">
        <f>IF('Permitted Diesel Engines'!C13="","",'Permitted Diesel Engines'!L13*0.14*'Emission Calculations'!G38/2000)</f>
      </c>
    </row>
    <row r="39" spans="2:15" ht="15">
      <c r="B39" s="7"/>
      <c r="C39" s="6"/>
      <c r="D39" s="6"/>
      <c r="E39" s="7"/>
      <c r="F39" s="7"/>
      <c r="G39" s="7"/>
      <c r="H39" s="7"/>
      <c r="I39" s="7"/>
      <c r="J39" s="12"/>
      <c r="K39" s="12"/>
      <c r="L39" s="7"/>
      <c r="M39" s="13" t="s">
        <v>38</v>
      </c>
      <c r="N39" s="48">
        <f>SUM(N25:N38)</f>
        <v>0</v>
      </c>
      <c r="O39" s="48">
        <f>SUM(O25:O38)</f>
        <v>0</v>
      </c>
    </row>
    <row r="40" spans="2:15" ht="15">
      <c r="B40" s="7"/>
      <c r="C40" s="6"/>
      <c r="D40" s="6"/>
      <c r="E40" s="7"/>
      <c r="F40" s="7"/>
      <c r="G40" s="7"/>
      <c r="H40" s="7"/>
      <c r="I40" s="7"/>
      <c r="J40" s="12"/>
      <c r="K40" s="12"/>
      <c r="L40" s="7"/>
      <c r="M40" s="14"/>
      <c r="N40" s="10"/>
      <c r="O40" s="10"/>
    </row>
    <row r="41" spans="2:15" ht="15">
      <c r="B41" s="7"/>
      <c r="C41" s="6"/>
      <c r="D41" s="6"/>
      <c r="E41" s="7"/>
      <c r="F41" s="7"/>
      <c r="G41" s="7"/>
      <c r="H41" s="7"/>
      <c r="I41" s="7"/>
      <c r="J41" s="237" t="s">
        <v>144</v>
      </c>
      <c r="K41" s="118"/>
      <c r="L41" s="7"/>
      <c r="M41" s="237" t="s">
        <v>145</v>
      </c>
      <c r="N41" s="237" t="s">
        <v>21</v>
      </c>
      <c r="O41" s="237" t="s">
        <v>25</v>
      </c>
    </row>
    <row r="42" spans="2:15" ht="15" customHeight="1">
      <c r="B42" s="272" t="s">
        <v>18</v>
      </c>
      <c r="C42" s="237" t="s">
        <v>19</v>
      </c>
      <c r="D42" s="272" t="s">
        <v>16</v>
      </c>
      <c r="E42" s="237" t="s">
        <v>17</v>
      </c>
      <c r="F42" s="222" t="s">
        <v>53</v>
      </c>
      <c r="G42" s="237" t="s">
        <v>20</v>
      </c>
      <c r="H42" s="222" t="s">
        <v>53</v>
      </c>
      <c r="I42" s="232" t="s">
        <v>219</v>
      </c>
      <c r="J42" s="237"/>
      <c r="K42" s="172"/>
      <c r="L42" s="237" t="s">
        <v>22</v>
      </c>
      <c r="M42" s="237"/>
      <c r="N42" s="237"/>
      <c r="O42" s="237"/>
    </row>
    <row r="43" spans="2:15" ht="15">
      <c r="B43" s="272"/>
      <c r="C43" s="237"/>
      <c r="D43" s="272"/>
      <c r="E43" s="237"/>
      <c r="F43" s="223"/>
      <c r="G43" s="237"/>
      <c r="H43" s="223"/>
      <c r="I43" s="234"/>
      <c r="J43" s="237"/>
      <c r="K43" s="172"/>
      <c r="L43" s="237"/>
      <c r="M43" s="237"/>
      <c r="N43" s="237"/>
      <c r="O43" s="237"/>
    </row>
    <row r="44" spans="2:15" ht="15.75">
      <c r="B44" s="271" t="s">
        <v>11</v>
      </c>
      <c r="C44" s="271"/>
      <c r="D44" s="6"/>
      <c r="E44" s="7"/>
      <c r="F44" s="7"/>
      <c r="G44" s="7"/>
      <c r="H44" s="7"/>
      <c r="I44" s="7"/>
      <c r="J44" s="12"/>
      <c r="K44" s="12"/>
      <c r="L44" s="7"/>
      <c r="M44" s="10"/>
      <c r="N44" s="10"/>
      <c r="O44" s="10"/>
    </row>
    <row r="45" spans="1:15" s="119" customFormat="1" ht="15.75">
      <c r="A45" s="119">
        <f>IF('Facility Information'!$C$24="","",IF('Facility Information'!$C$26="yes",LOOKUP('Facility Processes'!C7,'Emission Factors'!$A$12:$A$17,'Emission Factors'!I$12:I$17),LOOKUP('Facility Processes'!C7,'Emission Factors'!$A$5:$A$10,'Emission Factors'!I$5:I$10)))</f>
      </c>
      <c r="B45" s="188">
        <f>IF(G45="","",IF('Facility Processes'!B7="","",'Facility Processes'!B7))</f>
      </c>
      <c r="C45" s="137">
        <f>IF(G45="","",'Facility Processes'!C7)</f>
      </c>
      <c r="D45" s="138">
        <f>IF(C45="","",IF('Facility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45" s="139">
        <f>IF('Facility Processes'!$G$7="","",'Facility Processes'!$G$7)</f>
      </c>
      <c r="F45" s="139">
        <f>IF('Facility Processes'!G7="","","tons/hr")</f>
      </c>
      <c r="G45" s="139">
        <f>IF(A45="","",IF(A45&gt;0,A45,""))</f>
      </c>
      <c r="H45" s="139">
        <f>IF(G45="","","lbs/ton")</f>
      </c>
      <c r="I45" s="125">
        <f>IF(G45="","",LOOKUP(C45,'Emission Factors'!$A$5:$A$10,'Emission Factors'!$D$5:$D$10))</f>
      </c>
      <c r="J45" s="11">
        <f>IF(G45="","",G45*E45)</f>
      </c>
      <c r="K45" s="11"/>
      <c r="L45" s="120"/>
      <c r="M45" s="164">
        <f>IF('Facility Information'!F31&gt;0,'Facility Information'!F31,"")</f>
      </c>
      <c r="N45" s="61">
        <f>IF(G45="","",IF('Facility Information'!G31&gt;0,'Facility Information'!G31,IF('Facility Information'!$C$30&gt;0,'Facility Information'!$C$30*G45/2000,IF('Facility Information'!$C$31&gt;0,'Facility Information'!$C$31*365*G45*E45/2000,E45*G45*8760/2000))))</f>
      </c>
      <c r="O45" s="164">
        <f>IF(G45="","",G45*'Facility Processes'!H7/2000)</f>
      </c>
    </row>
    <row r="46" spans="2:15" ht="15">
      <c r="B46" s="135">
        <f>IF('Permitted Diesel Engines'!A9="","",'Permitted Diesel Engines'!A9)</f>
      </c>
      <c r="C46" s="103">
        <f>IF('Permitted Diesel Engines'!C9="","",'Permitted Diesel Engines'!C9)</f>
      </c>
      <c r="D46" s="57">
        <f>IF('Permitted Diesel Engines'!C9="","",LOOKUP('Permitted Diesel Engines'!C9,'Emission Factors'!$A$44:$A$45,'Emission Factors'!$C$44:$C$45))</f>
      </c>
      <c r="E46" s="57">
        <f>IF('Permitted Diesel Engines'!C9="","",'Permitted Diesel Engines'!K9)</f>
      </c>
      <c r="F46" s="57">
        <f>IF('Permitted Diesel Engines'!C9="","","MMBtu/hr")</f>
      </c>
      <c r="G46" s="57">
        <f>IF('Permitted Diesel Engines'!C9="","",LOOKUP('Permitted Diesel Engines'!C9,'Emission Factors'!$A$44:$A$45,'Emission Factors'!$I$44:$I$45))</f>
      </c>
      <c r="H46" s="57">
        <f>IF('Permitted Diesel Engines'!C9="","",LOOKUP('Permitted Diesel Engines'!C9,'Emission Factors'!$A$44:$A$45,'Emission Factors'!$D$44:$D$45))</f>
      </c>
      <c r="I46" s="134">
        <f>IF('Permitted Diesel Engines'!C9="","",LOOKUP('Permitted Diesel Engines'!C9,'Emission Factors'!$A$44:$A$45,'Emission Factors'!$J$44:$J$45))</f>
      </c>
      <c r="J46" s="130">
        <f>IF('Permitted Diesel Engines'!C9="","",IF(G46='Emission Factors'!$I$44,E46*G46,'Emission Calculations'!E46*'Emission Calculations'!G46*$G$51))</f>
      </c>
      <c r="K46" s="130"/>
      <c r="L46" s="57"/>
      <c r="M46" s="61"/>
      <c r="N46" s="61">
        <f>IF(G46="","",IF('Permitted Diesel Engines'!D3&gt;0,IF('Permitted Diesel Engines'!N12&gt;0,'Permitted Diesel Engines'!D3*0.14*'Emission Factors'!I45*G51/2000,'Permitted Diesel Engines'!D3*0.14*'Emission Factors'!I44/2000),IF('Permitted Diesel Engines'!E9&gt;0,'Permitted Diesel Engines'!E9*'Emission Calculations'!G46*E46/2000,'Emission Calculations'!J46*8760/2000)))</f>
      </c>
      <c r="O46" s="61">
        <f>IF('Permitted Diesel Engines'!C9="","",'Permitted Diesel Engines'!L9*0.14*'Permitted Diesel Engines'!D5*$G$51/2000)</f>
      </c>
    </row>
    <row r="47" spans="2:15" ht="15">
      <c r="B47" s="135">
        <f>IF('Permitted Diesel Engines'!A10="","",'Permitted Diesel Engines'!A10)</f>
      </c>
      <c r="C47" s="103">
        <f>IF('Permitted Diesel Engines'!C10="","",'Permitted Diesel Engines'!C10)</f>
      </c>
      <c r="D47" s="57">
        <f>IF('Permitted Diesel Engines'!C10="","",LOOKUP('Permitted Diesel Engines'!C10,'Emission Factors'!$A$44:$A$45,'Emission Factors'!$C$44:$C$45))</f>
      </c>
      <c r="E47" s="57">
        <f>IF('Permitted Diesel Engines'!C10="","",'Permitted Diesel Engines'!K10)</f>
      </c>
      <c r="F47" s="57">
        <f>IF('Permitted Diesel Engines'!C10="","","MMBtu/hr")</f>
      </c>
      <c r="G47" s="57">
        <f>IF('Permitted Diesel Engines'!C10="","",LOOKUP('Permitted Diesel Engines'!C10,'Emission Factors'!$A$44:$A$45,'Emission Factors'!$I$44:$I$45))</f>
      </c>
      <c r="H47" s="57">
        <f>IF('Permitted Diesel Engines'!C10="","",LOOKUP('Permitted Diesel Engines'!C10,'Emission Factors'!$A$44:$A$45,'Emission Factors'!$D$44:$D$45))</f>
      </c>
      <c r="I47" s="134">
        <f>IF('Permitted Diesel Engines'!C10="","",LOOKUP('Permitted Diesel Engines'!C10,'Emission Factors'!$A$44:$A$45,'Emission Factors'!$J$44:$J$45))</f>
      </c>
      <c r="J47" s="130">
        <f>IF('Permitted Diesel Engines'!C10="","",IF(G47='Emission Factors'!$I$44,E47*G47,'Emission Calculations'!E47*'Emission Calculations'!G47*$G$51))</f>
      </c>
      <c r="K47" s="130"/>
      <c r="L47" s="57"/>
      <c r="M47" s="61"/>
      <c r="N47" s="61">
        <f>IF(G47="","",IF('Permitted Diesel Engines'!$D$3&gt;0,"",IF('Permitted Diesel Engines'!E10&gt;0,IF(G47='Emission Factors'!$I$44,'Permitted Diesel Engines'!E10*'Emission Calculations'!G47*'Emission Calculations'!E47/2000,'Permitted Diesel Engines'!E10*'Emission Calculations'!G47*'Emission Calculations'!$G$51*'Emission Calculations'!E47/2000),'Emission Calculations'!J47*8760/2000)))</f>
      </c>
      <c r="O47" s="61">
        <f>IF('Permitted Diesel Engines'!C10="","",'Permitted Diesel Engines'!L10*0.14*'Permitted Diesel Engines'!D5*$G$51/2000)</f>
      </c>
    </row>
    <row r="48" spans="2:15" ht="15">
      <c r="B48" s="135">
        <f>IF('Permitted Diesel Engines'!A11="","",'Permitted Diesel Engines'!A11)</f>
      </c>
      <c r="C48" s="103">
        <f>IF('Permitted Diesel Engines'!C11="","",'Permitted Diesel Engines'!C11)</f>
      </c>
      <c r="D48" s="57">
        <f>IF('Permitted Diesel Engines'!C11="","",LOOKUP('Permitted Diesel Engines'!C11,'Emission Factors'!$A$44:$A$45,'Emission Factors'!$C$44:$C$45))</f>
      </c>
      <c r="E48" s="57">
        <f>IF('Permitted Diesel Engines'!C11="","",'Permitted Diesel Engines'!K11)</f>
      </c>
      <c r="F48" s="57">
        <f>IF('Permitted Diesel Engines'!C11="","","MMBtu/hr")</f>
      </c>
      <c r="G48" s="57">
        <f>IF('Permitted Diesel Engines'!C11="","",LOOKUP('Permitted Diesel Engines'!C11,'Emission Factors'!$A$44:$A$45,'Emission Factors'!$I$44:$I$45))</f>
      </c>
      <c r="H48" s="57">
        <f>IF('Permitted Diesel Engines'!C11="","",LOOKUP('Permitted Diesel Engines'!C11,'Emission Factors'!$A$44:$A$45,'Emission Factors'!$D$44:$D$45))</f>
      </c>
      <c r="I48" s="134">
        <f>IF('Permitted Diesel Engines'!C11="","",LOOKUP('Permitted Diesel Engines'!C11,'Emission Factors'!$A$44:$A$45,'Emission Factors'!$J$44:$J$45))</f>
      </c>
      <c r="J48" s="130">
        <f>IF('Permitted Diesel Engines'!C11="","",IF(G48='Emission Factors'!$I$44,E48*G48,'Emission Calculations'!E48*'Emission Calculations'!G48*$G$51))</f>
      </c>
      <c r="K48" s="130"/>
      <c r="L48" s="57"/>
      <c r="M48" s="61"/>
      <c r="N48" s="61">
        <f>IF(G48="","",IF('Permitted Diesel Engines'!$D$3&gt;0,"",IF('Permitted Diesel Engines'!E11&gt;0,IF(G48='Emission Factors'!$I$44,'Permitted Diesel Engines'!E11*'Emission Calculations'!G48*'Emission Calculations'!E48/2000,'Permitted Diesel Engines'!E11*'Emission Calculations'!G48*'Emission Calculations'!$G$51*'Emission Calculations'!E48/2000),'Emission Calculations'!J48*8760/2000)))</f>
      </c>
      <c r="O48" s="61">
        <f>IF('Permitted Diesel Engines'!C11="","",'Permitted Diesel Engines'!L11*0.14*'Permitted Diesel Engines'!D5*$G$51/2000)</f>
      </c>
    </row>
    <row r="49" spans="2:15" ht="15">
      <c r="B49" s="135">
        <f>IF('Permitted Diesel Engines'!A12="","",'Permitted Diesel Engines'!A12)</f>
      </c>
      <c r="C49" s="103">
        <f>IF('Permitted Diesel Engines'!C12="","",'Permitted Diesel Engines'!C12)</f>
      </c>
      <c r="D49" s="57">
        <f>IF('Permitted Diesel Engines'!C12="","",LOOKUP('Permitted Diesel Engines'!C12,'Emission Factors'!$A$44:$A$45,'Emission Factors'!$C$44:$C$45))</f>
      </c>
      <c r="E49" s="57">
        <f>IF('Permitted Diesel Engines'!C12="","",'Permitted Diesel Engines'!K12)</f>
      </c>
      <c r="F49" s="57">
        <f>IF('Permitted Diesel Engines'!C12="","","MMBtu/hr")</f>
      </c>
      <c r="G49" s="57">
        <f>IF('Permitted Diesel Engines'!C12="","",LOOKUP('Permitted Diesel Engines'!C12,'Emission Factors'!$A$44:$A$45,'Emission Factors'!$I$44:$I$45))</f>
      </c>
      <c r="H49" s="57">
        <f>IF('Permitted Diesel Engines'!C12="","",LOOKUP('Permitted Diesel Engines'!C12,'Emission Factors'!$A$44:$A$45,'Emission Factors'!$D$44:$D$45))</f>
      </c>
      <c r="I49" s="134">
        <f>IF('Permitted Diesel Engines'!C12="","",LOOKUP('Permitted Diesel Engines'!C12,'Emission Factors'!$A$44:$A$45,'Emission Factors'!$J$44:$J$45))</f>
      </c>
      <c r="J49" s="130">
        <f>IF('Permitted Diesel Engines'!C12="","",IF(G49='Emission Factors'!$I$44,E49*G49,'Emission Calculations'!E49*'Emission Calculations'!G49*$G$51))</f>
      </c>
      <c r="K49" s="130"/>
      <c r="L49" s="57"/>
      <c r="M49" s="61"/>
      <c r="N49" s="61">
        <f>IF(G49="","",IF('Permitted Diesel Engines'!$D$3&gt;0,"",IF('Permitted Diesel Engines'!E12&gt;0,IF(G49='Emission Factors'!$I$44,'Permitted Diesel Engines'!E12*'Emission Calculations'!G49*'Emission Calculations'!E49/2000,'Permitted Diesel Engines'!E12*'Emission Calculations'!G49*'Emission Calculations'!$G$51*'Emission Calculations'!E49/2000),'Emission Calculations'!J49*8760/2000)))</f>
      </c>
      <c r="O49" s="61">
        <f>IF('Permitted Diesel Engines'!C12="","",'Permitted Diesel Engines'!L12*0.14*'Permitted Diesel Engines'!D5*$G$51/2000)</f>
      </c>
    </row>
    <row r="50" spans="2:15" ht="15">
      <c r="B50" s="135">
        <f>IF('Permitted Diesel Engines'!A13="","",'Permitted Diesel Engines'!A13)</f>
      </c>
      <c r="C50" s="103">
        <f>IF('Permitted Diesel Engines'!C13="","",'Permitted Diesel Engines'!C13)</f>
      </c>
      <c r="D50" s="57">
        <f>IF('Permitted Diesel Engines'!C13="","",LOOKUP('Permitted Diesel Engines'!C13,'Emission Factors'!$A$44:$A$45,'Emission Factors'!$C$44:$C$45))</f>
      </c>
      <c r="E50" s="57">
        <f>IF('Permitted Diesel Engines'!C13="","",'Permitted Diesel Engines'!K13)</f>
      </c>
      <c r="F50" s="57">
        <f>IF('Permitted Diesel Engines'!C13="","","MMBtu/hr")</f>
      </c>
      <c r="G50" s="57">
        <f>IF('Permitted Diesel Engines'!C13="","",LOOKUP('Permitted Diesel Engines'!C13,'Emission Factors'!$A$44:$A$45,'Emission Factors'!$I$44:$I$45))</f>
      </c>
      <c r="H50" s="57">
        <f>IF('Permitted Diesel Engines'!C13="","",LOOKUP('Permitted Diesel Engines'!C13,'Emission Factors'!$A$44:$A$45,'Emission Factors'!$D$44:$D$45))</f>
      </c>
      <c r="I50" s="134">
        <f>IF('Permitted Diesel Engines'!C13="","",LOOKUP('Permitted Diesel Engines'!C13,'Emission Factors'!$A$44:$A$45,'Emission Factors'!$J$44:$J$45))</f>
      </c>
      <c r="J50" s="130">
        <f>IF('Permitted Diesel Engines'!C13="","",IF(G50='Emission Factors'!$I$44,E50*G50,'Emission Calculations'!E50*'Emission Calculations'!G50*$G$51))</f>
      </c>
      <c r="K50" s="130"/>
      <c r="L50" s="57"/>
      <c r="M50" s="61"/>
      <c r="N50" s="61">
        <f>IF(G50="","",IF('Permitted Diesel Engines'!$D$3&gt;0,"",IF('Permitted Diesel Engines'!E13&gt;0,IF(G50='Emission Factors'!$I$44,'Permitted Diesel Engines'!E13*'Emission Calculations'!G50*'Emission Calculations'!E50/2000,'Permitted Diesel Engines'!E13*'Emission Calculations'!G50*'Emission Calculations'!$G$51*'Emission Calculations'!E50/2000),'Emission Calculations'!J50*8760/2000)))</f>
      </c>
      <c r="O50" s="61">
        <f>IF('Permitted Diesel Engines'!C13="","",'Permitted Diesel Engines'!L13*0.14*'Permitted Diesel Engines'!D5*$G$51/2000)</f>
      </c>
    </row>
    <row r="51" spans="2:15" ht="15">
      <c r="B51" s="58"/>
      <c r="C51" s="19"/>
      <c r="D51" s="20"/>
      <c r="E51" s="269" t="s">
        <v>137</v>
      </c>
      <c r="F51" s="269"/>
      <c r="G51" s="8">
        <f>IF('Permitted Diesel Engines'!D4&gt;0,'Permitted Diesel Engines'!D4,IF('Permitted Diesel Engines'!D5&gt;0,'Permitted Diesel Engines'!D5,0.5))</f>
        <v>0.5</v>
      </c>
      <c r="I51" s="91"/>
      <c r="J51" s="59"/>
      <c r="K51" s="59"/>
      <c r="L51" s="20"/>
      <c r="M51" s="13" t="s">
        <v>38</v>
      </c>
      <c r="N51" s="48">
        <f>SUM(N45:N50)</f>
        <v>0</v>
      </c>
      <c r="O51" s="61">
        <f>SUM(O45:O50)</f>
        <v>0</v>
      </c>
    </row>
    <row r="52" spans="2:15" ht="15.75">
      <c r="B52" s="263" t="s">
        <v>34</v>
      </c>
      <c r="C52" s="263"/>
      <c r="D52" s="6"/>
      <c r="E52" s="7"/>
      <c r="F52" s="7"/>
      <c r="G52" s="7"/>
      <c r="H52" s="7"/>
      <c r="I52" s="92"/>
      <c r="J52" s="12"/>
      <c r="K52" s="12"/>
      <c r="L52" s="7"/>
      <c r="M52" s="10"/>
      <c r="N52" s="10"/>
      <c r="O52" s="166"/>
    </row>
    <row r="53" spans="1:15" s="119" customFormat="1" ht="15.75">
      <c r="A53" s="119">
        <f>IF('Facility Information'!$C$24="","",IF('Facility Information'!$C$26="yes",LOOKUP('Facility Processes'!C7,'Emission Factors'!$A$12:$A$17,'Emission Factors'!K$12:K$17),LOOKUP('Facility Processes'!C7,'Emission Factors'!$A$5:$A$10,'Emission Factors'!K$5:K$10)))</f>
      </c>
      <c r="B53" s="188">
        <f>IF(G53="","",IF('Facility Processes'!B7="","",'Facility Processes'!B7))</f>
      </c>
      <c r="C53" s="137">
        <f>IF(G53="","",'Facility Processes'!C7)</f>
      </c>
      <c r="D53" s="138">
        <f>IF(C53="","",IF('Facility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53" s="139">
        <f>IF('Facility Processes'!$G$7="","",'Facility Processes'!$G$7)</f>
      </c>
      <c r="F53" s="139">
        <f>IF('Facility Processes'!G7="","","tons/hr")</f>
      </c>
      <c r="G53" s="139">
        <f>IF(A53="","",IF(A53&gt;0,A53,""))</f>
      </c>
      <c r="H53" s="139">
        <f>IF(G53="","","lbs/ton")</f>
      </c>
      <c r="I53" s="125">
        <f>IF(G53="","",LOOKUP(C53,'Emission Factors'!$A$5:$A$10,'Emission Factors'!$D$5:$D$10))</f>
      </c>
      <c r="J53" s="11">
        <f>IF(G53="","",G53*E53)</f>
      </c>
      <c r="K53" s="11"/>
      <c r="L53" s="120"/>
      <c r="M53" s="164">
        <f>IF('Facility Information'!F32&gt;0,'Facility Information'!F32,"")</f>
      </c>
      <c r="N53" s="61">
        <f>IF(G53="","",IF('Facility Information'!G32&gt;0,'Facility Information'!G32,IF('Facility Information'!$C$30&gt;0,'Facility Information'!$C$30*G53/2000,IF('Facility Information'!$C$31&gt;0,'Facility Information'!$C$31*365*G53*E53/2000,E53*G53*8760/2000))))</f>
      </c>
      <c r="O53" s="164">
        <f>IF(G53="","",'Facility Processes'!H7*G53/2000)</f>
      </c>
    </row>
    <row r="54" spans="2:15" ht="15">
      <c r="B54" s="135">
        <f>IF('Permitted Diesel Engines'!A9="","",'Permitted Diesel Engines'!A9)</f>
      </c>
      <c r="C54" s="103">
        <f>IF('Permitted Diesel Engines'!C9="","",'Permitted Diesel Engines'!C9)</f>
      </c>
      <c r="D54" s="57">
        <f>IF('Permitted Diesel Engines'!C9="","",LOOKUP('Permitted Diesel Engines'!C9,'Emission Factors'!$A$44:$A$45,'Emission Factors'!$C$44:$C$45))</f>
      </c>
      <c r="E54" s="57">
        <f>IF('Permitted Diesel Engines'!C9="","",'Permitted Diesel Engines'!K9)</f>
      </c>
      <c r="F54" s="57">
        <f>IF('Permitted Diesel Engines'!C9="","","MMBtu/hr")</f>
      </c>
      <c r="G54" s="57">
        <f>IF('Permitted Diesel Engines'!C9="","",LOOKUP('Permitted Diesel Engines'!C9,'Emission Factors'!$A$44:$A$45,'Emission Factors'!$K$44:$K$45))</f>
      </c>
      <c r="H54" s="57">
        <f>IF('Permitted Diesel Engines'!C9="","",LOOKUP('Permitted Diesel Engines'!C9,'Emission Factors'!$A$44:$A$45,'Emission Factors'!$D$44:$D$45))</f>
      </c>
      <c r="I54" s="134">
        <f>IF('Permitted Diesel Engines'!C9="","",LOOKUP('Permitted Diesel Engines'!C9,'Emission Factors'!$A$44:$A$45,'Emission Factors'!$L$44:$L$45))</f>
      </c>
      <c r="J54" s="130">
        <f>IF('Permitted Diesel Engines'!C9="","",E54*G54)</f>
      </c>
      <c r="K54" s="130"/>
      <c r="L54" s="57"/>
      <c r="M54" s="61"/>
      <c r="N54" s="61">
        <f>IF(G54="","",IF('Permitted Diesel Engines'!D3&gt;0,IF('Permitted Diesel Engines'!N11&gt;0,'Permitted Diesel Engines'!D3*0.14*'Emission Factors'!K44/2000,'Permitted Diesel Engines'!D3*0.14*'Emission Factors'!K45/2000),IF('Permitted Diesel Engines'!E9&gt;0,'Permitted Diesel Engines'!E9*'Emission Calculations'!G54*E54/2000,'Emission Calculations'!J54*8760/2000)))</f>
      </c>
      <c r="O54" s="61">
        <f>IF('Permitted Diesel Engines'!C9="","",'Permitted Diesel Engines'!L9*0.14*'Emission Calculations'!G54/2000)</f>
      </c>
    </row>
    <row r="55" spans="2:15" ht="15">
      <c r="B55" s="135">
        <f>IF('Permitted Diesel Engines'!A10="","",'Permitted Diesel Engines'!A10)</f>
      </c>
      <c r="C55" s="103">
        <f>IF('Permitted Diesel Engines'!C10="","",'Permitted Diesel Engines'!C10)</f>
      </c>
      <c r="D55" s="57">
        <f>IF('Permitted Diesel Engines'!C10="","",LOOKUP('Permitted Diesel Engines'!C10,'Emission Factors'!$A$44:$A$45,'Emission Factors'!$C$44:$C$45))</f>
      </c>
      <c r="E55" s="57">
        <f>IF('Permitted Diesel Engines'!C10="","",'Permitted Diesel Engines'!K10)</f>
      </c>
      <c r="F55" s="57">
        <f>IF('Permitted Diesel Engines'!C10="","","MMBtu/hr")</f>
      </c>
      <c r="G55" s="57">
        <f>IF('Permitted Diesel Engines'!C10="","",LOOKUP('Permitted Diesel Engines'!C10,'Emission Factors'!$A$44:$A$45,'Emission Factors'!$K$44:$K$45))</f>
      </c>
      <c r="H55" s="57">
        <f>IF('Permitted Diesel Engines'!C10="","",LOOKUP('Permitted Diesel Engines'!C10,'Emission Factors'!$A$44:$A$45,'Emission Factors'!$D$44:$D$45))</f>
      </c>
      <c r="I55" s="134">
        <f>IF('Permitted Diesel Engines'!C10="","",LOOKUP('Permitted Diesel Engines'!C10,'Emission Factors'!$A$44:$A$45,'Emission Factors'!$L$44:$L$45))</f>
      </c>
      <c r="J55" s="130">
        <f>IF('Permitted Diesel Engines'!C10="","",E55*G55)</f>
      </c>
      <c r="K55" s="130"/>
      <c r="L55" s="57"/>
      <c r="M55" s="61"/>
      <c r="N55" s="61">
        <f>IF(G55="","",IF('Permitted Diesel Engines'!$D$3&gt;0,"",IF('Permitted Diesel Engines'!E10&gt;0,'Permitted Diesel Engines'!E10*'Emission Calculations'!G55*E55/2000,'Emission Calculations'!J55*8760/2000)))</f>
      </c>
      <c r="O55" s="61">
        <f>IF('Permitted Diesel Engines'!C10="","",'Permitted Diesel Engines'!L10*0.14*'Emission Calculations'!G55/2000)</f>
      </c>
    </row>
    <row r="56" spans="2:15" ht="15">
      <c r="B56" s="135">
        <f>IF('Permitted Diesel Engines'!A11="","",'Permitted Diesel Engines'!A11)</f>
      </c>
      <c r="C56" s="103">
        <f>IF('Permitted Diesel Engines'!C11="","",'Permitted Diesel Engines'!C11)</f>
      </c>
      <c r="D56" s="57">
        <f>IF('Permitted Diesel Engines'!C11="","",LOOKUP('Permitted Diesel Engines'!C11,'Emission Factors'!$A$44:$A$45,'Emission Factors'!$C$44:$C$45))</f>
      </c>
      <c r="E56" s="57">
        <f>IF('Permitted Diesel Engines'!C11="","",'Permitted Diesel Engines'!K11)</f>
      </c>
      <c r="F56" s="57">
        <f>IF('Permitted Diesel Engines'!C11="","","MMBtu/hr")</f>
      </c>
      <c r="G56" s="57">
        <f>IF('Permitted Diesel Engines'!C11="","",LOOKUP('Permitted Diesel Engines'!C11,'Emission Factors'!$A$44:$A$45,'Emission Factors'!$K$44:$K$45))</f>
      </c>
      <c r="H56" s="57">
        <f>IF('Permitted Diesel Engines'!C11="","",LOOKUP('Permitted Diesel Engines'!C11,'Emission Factors'!$A$44:$A$45,'Emission Factors'!$D$44:$D$45))</f>
      </c>
      <c r="I56" s="134">
        <f>IF('Permitted Diesel Engines'!C11="","",LOOKUP('Permitted Diesel Engines'!C11,'Emission Factors'!$A$44:$A$45,'Emission Factors'!$L$44:$L$45))</f>
      </c>
      <c r="J56" s="130">
        <f>IF('Permitted Diesel Engines'!C11="","",E56*G56)</f>
      </c>
      <c r="K56" s="130"/>
      <c r="L56" s="57"/>
      <c r="M56" s="61"/>
      <c r="N56" s="61">
        <f>IF(G56="","",IF('Permitted Diesel Engines'!$D$3&gt;0,"",IF('Permitted Diesel Engines'!E11&gt;0,'Permitted Diesel Engines'!E11*'Emission Calculations'!G56*E56/2000,'Emission Calculations'!J56*8760/2000)))</f>
      </c>
      <c r="O56" s="61">
        <f>IF('Permitted Diesel Engines'!C11="","",'Permitted Diesel Engines'!L11*0.14*'Emission Calculations'!G56/2000)</f>
      </c>
    </row>
    <row r="57" spans="2:15" ht="15">
      <c r="B57" s="135">
        <f>IF('Permitted Diesel Engines'!A12="","",'Permitted Diesel Engines'!A12)</f>
      </c>
      <c r="C57" s="103">
        <f>IF('Permitted Diesel Engines'!C12="","",'Permitted Diesel Engines'!C12)</f>
      </c>
      <c r="D57" s="57">
        <f>IF('Permitted Diesel Engines'!C12="","",LOOKUP('Permitted Diesel Engines'!C12,'Emission Factors'!$A$44:$A$45,'Emission Factors'!$C$44:$C$45))</f>
      </c>
      <c r="E57" s="57">
        <f>IF('Permitted Diesel Engines'!C12="","",'Permitted Diesel Engines'!K12)</f>
      </c>
      <c r="F57" s="57">
        <f>IF('Permitted Diesel Engines'!C12="","","MMBtu/hr")</f>
      </c>
      <c r="G57" s="57">
        <f>IF('Permitted Diesel Engines'!C12="","",LOOKUP('Permitted Diesel Engines'!C12,'Emission Factors'!$A$44:$A$45,'Emission Factors'!$K$44:$K$45))</f>
      </c>
      <c r="H57" s="57">
        <f>IF('Permitted Diesel Engines'!C12="","",LOOKUP('Permitted Diesel Engines'!C12,'Emission Factors'!$A$44:$A$45,'Emission Factors'!$D$44:$D$45))</f>
      </c>
      <c r="I57" s="134">
        <f>IF('Permitted Diesel Engines'!C12="","",LOOKUP('Permitted Diesel Engines'!C12,'Emission Factors'!$A$44:$A$45,'Emission Factors'!$L$44:$L$45))</f>
      </c>
      <c r="J57" s="130">
        <f>IF('Permitted Diesel Engines'!C12="","",E57*G57)</f>
      </c>
      <c r="K57" s="130"/>
      <c r="L57" s="57"/>
      <c r="M57" s="61"/>
      <c r="N57" s="61">
        <f>IF(G57="","",IF('Permitted Diesel Engines'!$D$3&gt;0,"",IF('Permitted Diesel Engines'!E12&gt;0,'Permitted Diesel Engines'!E12*'Emission Calculations'!G57*E57/2000,'Emission Calculations'!J57*8760/2000)))</f>
      </c>
      <c r="O57" s="61">
        <f>IF('Permitted Diesel Engines'!C12="","",'Permitted Diesel Engines'!L12*0.14*'Emission Calculations'!G57/2000)</f>
      </c>
    </row>
    <row r="58" spans="2:15" ht="15">
      <c r="B58" s="135">
        <f>IF('Permitted Diesel Engines'!A13="","",'Permitted Diesel Engines'!A13)</f>
      </c>
      <c r="C58" s="103">
        <f>IF('Permitted Diesel Engines'!C13="","",'Permitted Diesel Engines'!C13)</f>
      </c>
      <c r="D58" s="57">
        <f>IF('Permitted Diesel Engines'!C13="","",LOOKUP('Permitted Diesel Engines'!C13,'Emission Factors'!$A$44:$A$45,'Emission Factors'!$C$44:$C$45))</f>
      </c>
      <c r="E58" s="57">
        <f>IF('Permitted Diesel Engines'!C13="","",'Permitted Diesel Engines'!K13)</f>
      </c>
      <c r="F58" s="57">
        <f>IF('Permitted Diesel Engines'!C13="","","MMBtu/hr")</f>
      </c>
      <c r="G58" s="57">
        <f>IF('Permitted Diesel Engines'!C13="","",LOOKUP('Permitted Diesel Engines'!C13,'Emission Factors'!$A$44:$A$45,'Emission Factors'!$K$44:$K$45))</f>
      </c>
      <c r="H58" s="57">
        <f>IF('Permitted Diesel Engines'!C13="","",LOOKUP('Permitted Diesel Engines'!C13,'Emission Factors'!$A$44:$A$45,'Emission Factors'!$D$44:$D$45))</f>
      </c>
      <c r="I58" s="134">
        <f>IF('Permitted Diesel Engines'!C13="","",LOOKUP('Permitted Diesel Engines'!C13,'Emission Factors'!$A$44:$A$45,'Emission Factors'!$L$44:$L$45))</f>
      </c>
      <c r="J58" s="130">
        <f>IF('Permitted Diesel Engines'!C13="","",E58*G58)</f>
      </c>
      <c r="K58" s="130"/>
      <c r="L58" s="57"/>
      <c r="M58" s="61"/>
      <c r="N58" s="61">
        <f>IF(G58="","",IF('Permitted Diesel Engines'!$D$3&gt;0,"",IF('Permitted Diesel Engines'!E13&gt;0,'Permitted Diesel Engines'!E13*'Emission Calculations'!G58*E58/2000,'Emission Calculations'!J58*8760/2000)))</f>
      </c>
      <c r="O58" s="61">
        <f>IF('Permitted Diesel Engines'!C13="","",'Permitted Diesel Engines'!L13*0.14*'Emission Calculations'!G58/2000)</f>
      </c>
    </row>
    <row r="59" spans="2:15" ht="15">
      <c r="B59" s="58"/>
      <c r="C59" s="19"/>
      <c r="D59" s="20"/>
      <c r="E59" s="20"/>
      <c r="F59" s="20"/>
      <c r="G59" s="20"/>
      <c r="H59" s="20"/>
      <c r="I59" s="91"/>
      <c r="J59" s="59"/>
      <c r="K59" s="59"/>
      <c r="L59" s="20"/>
      <c r="M59" s="13" t="s">
        <v>38</v>
      </c>
      <c r="N59" s="48">
        <f>SUM(N53:N58)</f>
        <v>0</v>
      </c>
      <c r="O59" s="61">
        <f>SUM(O53:O58)</f>
        <v>0</v>
      </c>
    </row>
    <row r="60" spans="2:15" ht="15.75">
      <c r="B60" s="263" t="s">
        <v>13</v>
      </c>
      <c r="C60" s="263"/>
      <c r="D60" s="6"/>
      <c r="E60" s="7"/>
      <c r="F60" s="7"/>
      <c r="G60" s="7"/>
      <c r="H60" s="7"/>
      <c r="I60" s="92"/>
      <c r="J60" s="12"/>
      <c r="K60" s="12"/>
      <c r="L60" s="7"/>
      <c r="M60" s="10"/>
      <c r="N60" s="10"/>
      <c r="O60" s="166"/>
    </row>
    <row r="61" spans="1:15" s="119" customFormat="1" ht="15.75">
      <c r="A61" s="119">
        <f>IF('Facility Information'!$C$24="","",IF('Facility Information'!$C$26="yes",LOOKUP('Facility Processes'!C7,'Emission Factors'!$A$12:$A$17,'Emission Factors'!M$12:M$17),LOOKUP('Facility Processes'!C7,'Emission Factors'!$A$5:$A$10,'Emission Factors'!M$5:M$10)))</f>
      </c>
      <c r="B61" s="188">
        <f>IF(G61="","",IF('Facility Processes'!B7="","",'Facility Processes'!B7))</f>
      </c>
      <c r="C61" s="137">
        <f>IF(G61="","",'Facility Processes'!C7)</f>
      </c>
      <c r="D61" s="138">
        <f>IF(C61="","",IF('Facility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61" s="139">
        <f>IF('Facility Processes'!$G$7="","",'Facility Processes'!$G$7)</f>
      </c>
      <c r="F61" s="139">
        <f>IF('Facility Processes'!G7="","","tons/hr")</f>
      </c>
      <c r="G61" s="139">
        <f>IF(A61="","",IF(A61&gt;0,A61,""))</f>
      </c>
      <c r="H61" s="139">
        <f>IF(G61="","","lbs/ton")</f>
      </c>
      <c r="I61" s="125">
        <f>IF(G61="","",LOOKUP(C61,'Emission Factors'!$A$5:$A$10,'Emission Factors'!$D$5:$D$10))</f>
      </c>
      <c r="J61" s="11">
        <f>IF(G61="","",G61*E61)</f>
      </c>
      <c r="K61" s="11"/>
      <c r="L61" s="120"/>
      <c r="M61" s="164">
        <f>IF('Facility Information'!F33&gt;0,'Facility Information'!F33,"")</f>
      </c>
      <c r="N61" s="61">
        <f>IF(G61="","",IF('Facility Information'!G33&gt;0,'Facility Information'!G33,IF('Facility Information'!$C$30&gt;0,'Facility Information'!$C$30*G61/2000,IF('Facility Information'!$C$31&gt;0,'Facility Information'!$C$31*365*G61*E61/2000,E61*G61*8760/2000))))</f>
      </c>
      <c r="O61" s="164">
        <f>IF(G61="","",'Facility Processes'!H7*G61/2000)</f>
      </c>
    </row>
    <row r="62" spans="2:15" s="119" customFormat="1" ht="15">
      <c r="B62" s="57">
        <f>IF('Facility Processes'!$B$17="","",'Facility Processes'!$B$17)</f>
      </c>
      <c r="C62" s="103">
        <f>IF('Facility Processes'!$G$17="","",'Facility Processes'!$C$17)</f>
      </c>
      <c r="D62" s="103">
        <f>IF(C62="","",LOOKUP(C62,'Emission Factors'!$A$23,'Emission Factors'!$C$23))</f>
      </c>
      <c r="E62" s="57">
        <f>IF('Facility Processes'!$G$17="","",'Facility Processes'!$G$17)</f>
      </c>
      <c r="F62" s="57">
        <f>IF('Facility Processes'!$G$17="","","tons/hr")</f>
      </c>
      <c r="G62" s="161">
        <f>IF(C62="","",'Emission Factors'!M23)</f>
      </c>
      <c r="H62" s="57">
        <f>IF(G62="","","lbs/ton")</f>
      </c>
      <c r="I62" s="134">
        <f>IF(G62="","",'Emission Factors'!$D$23)</f>
      </c>
      <c r="J62" s="61">
        <f>IF(G62="","",G62*E62)</f>
      </c>
      <c r="K62" s="179"/>
      <c r="L62" s="120"/>
      <c r="M62" s="164"/>
      <c r="N62" s="61">
        <f>IF(G62="","",IF('Facility Information'!$C$30&gt;0,'Facility Information'!$C$30*G62/2000,IF('Facility Information'!$C$31&gt;0,'Facility Information'!$C$31*365*E62*G62/2000,E62*G62*8760/2000)))</f>
      </c>
      <c r="O62" s="164">
        <f>IF(G62="","",'Facility Processes'!$H$17*G62/2000)</f>
      </c>
    </row>
    <row r="63" spans="2:15" s="119" customFormat="1" ht="15">
      <c r="B63" s="57">
        <f>IF('Facility Processes'!$B$18="","",'Facility Processes'!$B$18)</f>
      </c>
      <c r="C63" s="103">
        <f>IF('Facility Processes'!$G$18="","",'Facility Processes'!$C$18)</f>
      </c>
      <c r="D63" s="103">
        <f>IF(C63="","",LOOKUP(C63,'Emission Factors'!$A$24,'Emission Factors'!$C$24))</f>
      </c>
      <c r="E63" s="57">
        <f>IF('Facility Processes'!$G$18="","",'Facility Processes'!$G$18)</f>
      </c>
      <c r="F63" s="57">
        <f>IF('Facility Processes'!$G$18="","","tons/hr")</f>
      </c>
      <c r="G63" s="161">
        <f>IF(C63="","",'Emission Factors'!M24)</f>
      </c>
      <c r="H63" s="57">
        <f>IF(G63="","","lbs/ton")</f>
      </c>
      <c r="I63" s="134">
        <f>IF(G63="","",'Emission Factors'!$D$24)</f>
      </c>
      <c r="J63" s="61">
        <f>IF(G63="","",G63*E63)</f>
      </c>
      <c r="K63" s="179"/>
      <c r="L63" s="120"/>
      <c r="M63" s="164"/>
      <c r="N63" s="61">
        <f>IF(G63="","",IF('Facility Information'!$C$30&gt;0,'Facility Information'!$C$30*G63/2000,IF('Facility Information'!$C$31&gt;0,'Facility Information'!$C$31*365*E63*G63/2000,E63*G63*8760/2000)))</f>
      </c>
      <c r="O63" s="164">
        <f>IF(G63="","",'Facility Processes'!H18*G63/2000)</f>
      </c>
    </row>
    <row r="64" spans="2:15" ht="15">
      <c r="B64" s="135">
        <f>IF('Permitted Diesel Engines'!A9="","",'Permitted Diesel Engines'!A9)</f>
      </c>
      <c r="C64" s="103">
        <f>IF('Permitted Diesel Engines'!C9="","",'Permitted Diesel Engines'!C9)</f>
      </c>
      <c r="D64" s="57">
        <f>IF('Permitted Diesel Engines'!C9="","",LOOKUP('Permitted Diesel Engines'!C9,'Emission Factors'!$A$44:$A$45,'Emission Factors'!$C$44:$C$45))</f>
      </c>
      <c r="E64" s="57">
        <f>IF('Permitted Diesel Engines'!C9="","",'Permitted Diesel Engines'!K9)</f>
      </c>
      <c r="F64" s="57">
        <f>IF('Permitted Diesel Engines'!C9="","","MMBtu/hr")</f>
      </c>
      <c r="G64" s="57">
        <f>IF('Permitted Diesel Engines'!C9="","",LOOKUP('Permitted Diesel Engines'!C9,'Emission Factors'!$A$44:$A$45,'Emission Factors'!$M$44:$M$45))</f>
      </c>
      <c r="H64" s="57">
        <f>IF('Permitted Diesel Engines'!C9="","",LOOKUP('Permitted Diesel Engines'!C9,'Emission Factors'!$A$44:$A$45,'Emission Factors'!$D$44:$D$45))</f>
      </c>
      <c r="I64" s="134">
        <f>IF('Permitted Diesel Engines'!C9="","",LOOKUP('Permitted Diesel Engines'!C9,'Emission Factors'!$A$44:$A$45,'Emission Factors'!$N$44:$N$45))</f>
      </c>
      <c r="J64" s="130">
        <f>IF('Permitted Diesel Engines'!C9="","",E64*G64)</f>
      </c>
      <c r="K64" s="130"/>
      <c r="L64" s="57"/>
      <c r="M64" s="61"/>
      <c r="N64" s="61">
        <f>IF(G64="","",IF('Permitted Diesel Engines'!D3&gt;0,IF('Permitted Diesel Engines'!N11&gt;0,'Permitted Diesel Engines'!D3*0.14*'Emission Factors'!M44/2000,'Permitted Diesel Engines'!D3*0.14*'Emission Factors'!M45/2000),IF('Permitted Diesel Engines'!E9&gt;0,'Permitted Diesel Engines'!E9*'Emission Calculations'!G64*E64/2000,'Emission Calculations'!J64*8760/2000)))</f>
      </c>
      <c r="O64" s="61">
        <f>IF('Permitted Diesel Engines'!C9="","",'Permitted Diesel Engines'!L9*0.14*'Emission Calculations'!G64/2000)</f>
      </c>
    </row>
    <row r="65" spans="2:15" ht="15">
      <c r="B65" s="135">
        <f>IF('Permitted Diesel Engines'!A10="","",'Permitted Diesel Engines'!A10)</f>
      </c>
      <c r="C65" s="103">
        <f>IF('Permitted Diesel Engines'!C10="","",'Permitted Diesel Engines'!C10)</f>
      </c>
      <c r="D65" s="57">
        <f>IF('Permitted Diesel Engines'!C10="","",LOOKUP('Permitted Diesel Engines'!C10,'Emission Factors'!$A$44:$A$45,'Emission Factors'!$C$44:$C$45))</f>
      </c>
      <c r="E65" s="57">
        <f>IF('Permitted Diesel Engines'!C10="","",'Permitted Diesel Engines'!K10)</f>
      </c>
      <c r="F65" s="57">
        <f>IF('Permitted Diesel Engines'!C10="","","MMBtu/hr")</f>
      </c>
      <c r="G65" s="57">
        <f>IF('Permitted Diesel Engines'!C10="","",LOOKUP('Permitted Diesel Engines'!C10,'Emission Factors'!$A$44:$A$45,'Emission Factors'!$M$44:$M$45))</f>
      </c>
      <c r="H65" s="57">
        <f>IF('Permitted Diesel Engines'!C10="","",LOOKUP('Permitted Diesel Engines'!C10,'Emission Factors'!$A$44:$A$45,'Emission Factors'!$D$44:$D$45))</f>
      </c>
      <c r="I65" s="134">
        <f>IF('Permitted Diesel Engines'!C10="","",LOOKUP('Permitted Diesel Engines'!C10,'Emission Factors'!$A$44:$A$45,'Emission Factors'!$N$44:$N$45))</f>
      </c>
      <c r="J65" s="130">
        <f>IF('Permitted Diesel Engines'!C10="","",E65*G65)</f>
      </c>
      <c r="K65" s="130"/>
      <c r="L65" s="57"/>
      <c r="M65" s="61"/>
      <c r="N65" s="61">
        <f>IF(G65="","",IF('Permitted Diesel Engines'!$D$3&gt;0,"",IF('Permitted Diesel Engines'!E10&gt;0,'Permitted Diesel Engines'!E10*'Emission Calculations'!G65*E65/2000,'Emission Calculations'!J65*8760/2000)))</f>
      </c>
      <c r="O65" s="61">
        <f>IF('Permitted Diesel Engines'!C10="","",'Permitted Diesel Engines'!L10*0.14*'Emission Calculations'!G65/2000)</f>
      </c>
    </row>
    <row r="66" spans="2:15" ht="15">
      <c r="B66" s="135">
        <f>IF('Permitted Diesel Engines'!A11="","",'Permitted Diesel Engines'!A11)</f>
      </c>
      <c r="C66" s="103">
        <f>IF('Permitted Diesel Engines'!C11="","",'Permitted Diesel Engines'!C11)</f>
      </c>
      <c r="D66" s="57">
        <f>IF('Permitted Diesel Engines'!C11="","",LOOKUP('Permitted Diesel Engines'!C11,'Emission Factors'!$A$44:$A$45,'Emission Factors'!$C$44:$C$45))</f>
      </c>
      <c r="E66" s="57">
        <f>IF('Permitted Diesel Engines'!C11="","",'Permitted Diesel Engines'!K11)</f>
      </c>
      <c r="F66" s="57">
        <f>IF('Permitted Diesel Engines'!C11="","","MMBtu/hr")</f>
      </c>
      <c r="G66" s="57">
        <f>IF('Permitted Diesel Engines'!C11="","",LOOKUP('Permitted Diesel Engines'!C11,'Emission Factors'!$A$44:$A$45,'Emission Factors'!$M$44:$M$45))</f>
      </c>
      <c r="H66" s="57">
        <f>IF('Permitted Diesel Engines'!C11="","",LOOKUP('Permitted Diesel Engines'!C11,'Emission Factors'!$A$44:$A$45,'Emission Factors'!$D$44:$D$45))</f>
      </c>
      <c r="I66" s="134">
        <f>IF('Permitted Diesel Engines'!C11="","",LOOKUP('Permitted Diesel Engines'!C11,'Emission Factors'!$A$44:$A$45,'Emission Factors'!$N$44:$N$45))</f>
      </c>
      <c r="J66" s="130">
        <f>IF('Permitted Diesel Engines'!C11="","",E66*G66)</f>
      </c>
      <c r="K66" s="130"/>
      <c r="L66" s="57"/>
      <c r="M66" s="61"/>
      <c r="N66" s="61">
        <f>IF(G66="","",IF('Permitted Diesel Engines'!$D$3&gt;0,"",IF('Permitted Diesel Engines'!E11&gt;0,'Permitted Diesel Engines'!E11*'Emission Calculations'!G66*E66/2000,'Emission Calculations'!J66*8760/2000)))</f>
      </c>
      <c r="O66" s="61">
        <f>IF('Permitted Diesel Engines'!C11="","",'Permitted Diesel Engines'!L11*0.14*'Emission Calculations'!G66/2000)</f>
      </c>
    </row>
    <row r="67" spans="2:15" ht="15">
      <c r="B67" s="135">
        <f>IF('Permitted Diesel Engines'!A12="","",'Permitted Diesel Engines'!A12)</f>
      </c>
      <c r="C67" s="103">
        <f>IF('Permitted Diesel Engines'!C12="","",'Permitted Diesel Engines'!C12)</f>
      </c>
      <c r="D67" s="57">
        <f>IF('Permitted Diesel Engines'!C12="","",LOOKUP('Permitted Diesel Engines'!C12,'Emission Factors'!$A$44:$A$45,'Emission Factors'!$C$44:$C$45))</f>
      </c>
      <c r="E67" s="57">
        <f>IF('Permitted Diesel Engines'!C12="","",'Permitted Diesel Engines'!K12)</f>
      </c>
      <c r="F67" s="57">
        <f>IF('Permitted Diesel Engines'!C12="","","MMBtu/hr")</f>
      </c>
      <c r="G67" s="57">
        <f>IF('Permitted Diesel Engines'!C12="","",LOOKUP('Permitted Diesel Engines'!C12,'Emission Factors'!$A$44:$A$45,'Emission Factors'!$M$44:$M$45))</f>
      </c>
      <c r="H67" s="57">
        <f>IF('Permitted Diesel Engines'!C12="","",LOOKUP('Permitted Diesel Engines'!C12,'Emission Factors'!$A$44:$A$45,'Emission Factors'!$D$44:$D$45))</f>
      </c>
      <c r="I67" s="134">
        <f>IF('Permitted Diesel Engines'!C12="","",LOOKUP('Permitted Diesel Engines'!C12,'Emission Factors'!$A$44:$A$45,'Emission Factors'!$N$44:$N$45))</f>
      </c>
      <c r="J67" s="130">
        <f>IF('Permitted Diesel Engines'!C12="","",E67*G67)</f>
      </c>
      <c r="K67" s="130"/>
      <c r="L67" s="57"/>
      <c r="M67" s="61"/>
      <c r="N67" s="61">
        <f>IF(G67="","",IF('Permitted Diesel Engines'!$D$3&gt;0,"",IF('Permitted Diesel Engines'!E12&gt;0,'Permitted Diesel Engines'!E12*'Emission Calculations'!G67*E67/2000,'Emission Calculations'!J67*8760/2000)))</f>
      </c>
      <c r="O67" s="61">
        <f>IF('Permitted Diesel Engines'!C12="","",'Permitted Diesel Engines'!L12*0.14*'Emission Calculations'!G67/2000)</f>
      </c>
    </row>
    <row r="68" spans="2:15" ht="15">
      <c r="B68" s="135">
        <f>IF('Permitted Diesel Engines'!A13="","",'Permitted Diesel Engines'!A13)</f>
      </c>
      <c r="C68" s="103">
        <f>IF('Permitted Diesel Engines'!C13="","",'Permitted Diesel Engines'!C13)</f>
      </c>
      <c r="D68" s="57">
        <f>IF('Permitted Diesel Engines'!C13="","",LOOKUP('Permitted Diesel Engines'!C13,'Emission Factors'!$A$44:$A$45,'Emission Factors'!$C$44:$C$45))</f>
      </c>
      <c r="E68" s="57">
        <f>IF('Permitted Diesel Engines'!C13="","",'Permitted Diesel Engines'!K13)</f>
      </c>
      <c r="F68" s="57">
        <f>IF('Permitted Diesel Engines'!C13="","","MMBtu/hr")</f>
      </c>
      <c r="G68" s="57">
        <f>IF('Permitted Diesel Engines'!C13="","",LOOKUP('Permitted Diesel Engines'!C13,'Emission Factors'!$A$44:$A$45,'Emission Factors'!$M$44:$M$45))</f>
      </c>
      <c r="H68" s="57">
        <f>IF('Permitted Diesel Engines'!C13="","",LOOKUP('Permitted Diesel Engines'!C13,'Emission Factors'!$A$44:$A$45,'Emission Factors'!$D$44:$D$45))</f>
      </c>
      <c r="I68" s="134">
        <f>IF('Permitted Diesel Engines'!C13="","",LOOKUP('Permitted Diesel Engines'!C13,'Emission Factors'!$A$44:$A$45,'Emission Factors'!$N$44:$N$45))</f>
      </c>
      <c r="J68" s="130">
        <f>IF('Permitted Diesel Engines'!C13="","",E68*G68)</f>
      </c>
      <c r="K68" s="130"/>
      <c r="L68" s="57"/>
      <c r="M68" s="61"/>
      <c r="N68" s="61">
        <f>IF(G68="","",IF('Permitted Diesel Engines'!$D$3&gt;0,"",IF('Permitted Diesel Engines'!E13&gt;0,'Permitted Diesel Engines'!E13*'Emission Calculations'!G68*E68/2000,'Emission Calculations'!J68*8760/2000)))</f>
      </c>
      <c r="O68" s="61">
        <f>IF('Permitted Diesel Engines'!C13="","",'Permitted Diesel Engines'!L13*0.14*'Emission Calculations'!G68/2000)</f>
      </c>
    </row>
    <row r="69" spans="2:15" ht="15">
      <c r="B69" s="58"/>
      <c r="C69" s="19"/>
      <c r="D69" s="20"/>
      <c r="E69" s="20"/>
      <c r="F69" s="20"/>
      <c r="G69" s="20"/>
      <c r="H69" s="20"/>
      <c r="I69" s="91"/>
      <c r="J69" s="59"/>
      <c r="K69" s="59"/>
      <c r="L69" s="20"/>
      <c r="M69" s="13" t="s">
        <v>38</v>
      </c>
      <c r="N69" s="48">
        <f>SUM(N61:N68)</f>
        <v>0</v>
      </c>
      <c r="O69" s="61">
        <f>SUM(O61:O68)</f>
        <v>0</v>
      </c>
    </row>
    <row r="70" spans="2:15" ht="15.75">
      <c r="B70" s="263" t="s">
        <v>14</v>
      </c>
      <c r="C70" s="263"/>
      <c r="D70" s="6"/>
      <c r="E70" s="7"/>
      <c r="F70" s="7"/>
      <c r="G70" s="7"/>
      <c r="H70" s="7"/>
      <c r="I70" s="92"/>
      <c r="J70" s="12"/>
      <c r="K70" s="12"/>
      <c r="L70" s="7"/>
      <c r="M70" s="10"/>
      <c r="N70" s="10"/>
      <c r="O70" s="166"/>
    </row>
    <row r="71" spans="1:15" s="119" customFormat="1" ht="15.75">
      <c r="A71" s="119">
        <f>IF('Facility Information'!$C$24="","",IF('Facility Information'!$C$26="yes",LOOKUP('Facility Processes'!C7,'Emission Factors'!$A$12:$A$17,'Emission Factors'!O$12:O$17),LOOKUP('Facility Processes'!C7,'Emission Factors'!$A$5:$A$10,'Emission Factors'!O$5:O$10)))</f>
      </c>
      <c r="B71" s="188">
        <f>IF(G71="","",IF('Facility Processes'!B7="","",'Facility Processes'!B7))</f>
      </c>
      <c r="C71" s="137">
        <f>IF(G71="","",'Facility Processes'!C7)</f>
      </c>
      <c r="D71" s="138">
        <f>IF(C71="","",IF('Facility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71" s="139">
        <f>IF('Facility Processes'!$G$7="","",'Facility Processes'!$G$7)</f>
      </c>
      <c r="F71" s="139">
        <f>IF('Facility Processes'!G7="","","tons/hr")</f>
      </c>
      <c r="G71" s="139">
        <f>IF(A71="","",IF(A71&gt;0,A71,""))</f>
      </c>
      <c r="H71" s="139">
        <f>IF(G71="","","lbs/ton")</f>
      </c>
      <c r="I71" s="125">
        <f>IF(G71="","",LOOKUP(C71,'Emission Factors'!$A$5:$A$10,'Emission Factors'!$D$5:$D$10))</f>
      </c>
      <c r="J71" s="11">
        <f>IF(G71="","",E71*G71)</f>
      </c>
      <c r="K71" s="11"/>
      <c r="L71" s="120"/>
      <c r="M71" s="164">
        <f>IF('Facility Information'!F34&gt;0,'Facility Information'!F34,"")</f>
      </c>
      <c r="N71" s="61">
        <f>IF(G71="","",IF('Facility Information'!G34&gt;0,'Facility Information'!G34,IF('Facility Information'!$C$30&gt;0,'Facility Information'!$C$30*G71/2000,IF('Facility Information'!$C$31&gt;0,'Facility Information'!$C$31*365*G71*E71/2000,E71*G71*8760/2000))))</f>
      </c>
      <c r="O71" s="164">
        <f>IF(G71="","",'Facility Processes'!H7*G71/2000)</f>
      </c>
    </row>
    <row r="72" spans="1:15" s="119" customFormat="1" ht="15.75">
      <c r="A72" s="119">
        <f>IF('Facility Information'!$C$25="","",LOOKUP('Facility Processes'!$C$12,'Emission Factors'!$A$19:$A$21,'Emission Factors'!$O$19:$O$21))</f>
      </c>
      <c r="B72" s="188">
        <f>IF(G72="","",IF('Facility Processes'!B12="","",'Facility Processes'!B12))</f>
      </c>
      <c r="C72" s="137">
        <f>IF(G72="","",'Facility Processes'!$C$12)</f>
      </c>
      <c r="D72" s="138">
        <f>IF(G72="","",LOOKUP('Facility Processes'!$C$12,'Emission Factors'!$A$19:$A$21,'Emission Factors'!$C$19:$C$21))</f>
      </c>
      <c r="E72" s="139">
        <f>IF(G72="","",'Facility Processes'!$G$12)</f>
      </c>
      <c r="F72" s="139">
        <f>IF(G72="","",'Facility Processes'!$A$11&amp;"/hr")</f>
      </c>
      <c r="G72" s="139">
        <f>IF(A72="","",IF(A72&gt;0,A72,""))</f>
      </c>
      <c r="H72" s="139">
        <f>IF(G72="","",LOOKUP(C72,'Emission Factors'!$A$19:$A$21,'Emission Factors'!$P$19:$P$21))</f>
      </c>
      <c r="I72" s="126">
        <f>IF(G72="","",LOOKUP(C72,'Emission Factors'!$A$19:$A$21,'Emission Factors'!$D$19:$D$21))</f>
      </c>
      <c r="J72" s="130">
        <f>IF(G72="","",E72*G72)</f>
      </c>
      <c r="K72" s="179"/>
      <c r="L72" s="120"/>
      <c r="M72" s="164"/>
      <c r="N72" s="61">
        <f>IF(G72="","",E72*G72*8760/2000)</f>
      </c>
      <c r="O72" s="164">
        <f>IF(G72="","",'Facility Processes'!$H$12*G72/2000)</f>
      </c>
    </row>
    <row r="73" spans="2:15" s="119" customFormat="1" ht="15">
      <c r="B73" s="57">
        <f>IF('Facility Processes'!$B$17="","",'Facility Processes'!$B$17)</f>
      </c>
      <c r="C73" s="103">
        <f>IF('Facility Processes'!$G$17="","",'Facility Processes'!$C$17)</f>
      </c>
      <c r="D73" s="103">
        <f>IF(C73="","",LOOKUP(C73,'Emission Factors'!$A$23,'Emission Factors'!$C$23))</f>
      </c>
      <c r="E73" s="57">
        <f>IF('Facility Processes'!$G$17="","",'Facility Processes'!$G$17)</f>
      </c>
      <c r="F73" s="57">
        <f>IF('Facility Processes'!$G$17="","","tons/hr")</f>
      </c>
      <c r="G73" s="161">
        <f>IF(C73="","",'Emission Factors'!O23)</f>
      </c>
      <c r="H73" s="57">
        <f>IF(G73="","","lbs/ton")</f>
      </c>
      <c r="I73" s="134">
        <f>IF(G73="","",'Emission Factors'!$D$23)</f>
      </c>
      <c r="J73" s="61">
        <f>IF(G73="","",G73*E73)</f>
      </c>
      <c r="K73" s="179"/>
      <c r="L73" s="120"/>
      <c r="M73" s="164"/>
      <c r="N73" s="61">
        <f>IF(G73="","",IF('Facility Information'!$C$30&gt;0,'Facility Information'!$C$30*G73/2000,IF('Facility Information'!$C$31&gt;0,'Facility Information'!$C$31*365*E73*G73/2000,E73*G73*8760/2000)))</f>
      </c>
      <c r="O73" s="164">
        <f>IF(G73="","",'Facility Processes'!H17*G73/2000)</f>
      </c>
    </row>
    <row r="74" spans="2:15" s="119" customFormat="1" ht="15">
      <c r="B74" s="57">
        <f>IF('Facility Processes'!$B$18="","",'Facility Processes'!$B$18)</f>
      </c>
      <c r="C74" s="103">
        <f>IF('Facility Processes'!$G$18="","",'Facility Processes'!$C$18)</f>
      </c>
      <c r="D74" s="103">
        <f>IF(C74="","",LOOKUP(C74,'Emission Factors'!$A$24,'Emission Factors'!$C$24))</f>
      </c>
      <c r="E74" s="57">
        <f>IF('Facility Processes'!$G$18="","",'Facility Processes'!$G$18)</f>
      </c>
      <c r="F74" s="57">
        <f>IF('Facility Processes'!$G$18="","","tons/hr")</f>
      </c>
      <c r="G74" s="161">
        <f>IF(C74="","",'Emission Factors'!O24)</f>
      </c>
      <c r="H74" s="57">
        <f>IF(G74="","","lbs/ton")</f>
      </c>
      <c r="I74" s="134">
        <f>IF(G74="","",'Emission Factors'!$D$24)</f>
      </c>
      <c r="J74" s="61">
        <f>IF(G74="","",G74*E74)</f>
      </c>
      <c r="K74" s="179"/>
      <c r="L74" s="120"/>
      <c r="M74" s="164"/>
      <c r="N74" s="61">
        <f>IF(G74="","",IF('Facility Information'!$C$30&gt;0,'Facility Information'!$C$30*G74/2000,IF('Facility Information'!$C$31&gt;0,'Facility Information'!$C$31*365*E74*G74/2000,E74*G74*8760/2000)))</f>
      </c>
      <c r="O74" s="164">
        <f>IF(G74="","",'Facility Processes'!H18*G74/2000)</f>
      </c>
    </row>
    <row r="75" spans="2:15" ht="15">
      <c r="B75" s="135">
        <f>IF('Permitted Diesel Engines'!A9="","",'Permitted Diesel Engines'!A9)</f>
      </c>
      <c r="C75" s="103">
        <f>IF('Permitted Diesel Engines'!C9="","",'Permitted Diesel Engines'!C9)</f>
      </c>
      <c r="D75" s="57">
        <f>IF('Permitted Diesel Engines'!C9="","",LOOKUP('Permitted Diesel Engines'!C9,'Emission Factors'!$A$44:$A$45,'Emission Factors'!$C$44:$C$45))</f>
      </c>
      <c r="E75" s="57">
        <f>IF('Permitted Diesel Engines'!C9="","",'Permitted Diesel Engines'!K9)</f>
      </c>
      <c r="F75" s="57">
        <f>IF('Permitted Diesel Engines'!C9="","","MMBtu/hr")</f>
      </c>
      <c r="G75" s="57">
        <f>IF('Permitted Diesel Engines'!C9="","",LOOKUP('Permitted Diesel Engines'!C9,'Emission Factors'!$A$44:$A$45,'Emission Factors'!$O$44:$O$45))</f>
      </c>
      <c r="H75" s="57">
        <f>IF('Permitted Diesel Engines'!C9="","",LOOKUP('Permitted Diesel Engines'!C9,'Emission Factors'!$A$44:$A$45,'Emission Factors'!$D$44:$D$45))</f>
      </c>
      <c r="I75" s="134">
        <f>IF('Permitted Diesel Engines'!C9="","",LOOKUP('Permitted Diesel Engines'!C9,'Emission Factors'!$A$44:$A$45,'Emission Factors'!$P$44:$P$45))</f>
      </c>
      <c r="J75" s="130">
        <f>IF('Permitted Diesel Engines'!C9="","",E75*G75)</f>
      </c>
      <c r="K75" s="130"/>
      <c r="L75" s="57"/>
      <c r="M75" s="61"/>
      <c r="N75" s="61">
        <f>IF(G75="","",IF('Permitted Diesel Engines'!D3&gt;0,IF('Permitted Diesel Engines'!N11&gt;0,'Permitted Diesel Engines'!D3*0.14*'Emission Factors'!O44/2000,'Permitted Diesel Engines'!D3*0.14*'Emission Factors'!O45/2000),IF('Permitted Diesel Engines'!E9&gt;0,'Permitted Diesel Engines'!E9*'Emission Calculations'!G75*E75/2000,'Emission Calculations'!J75*8760/2000)))</f>
      </c>
      <c r="O75" s="61">
        <f>IF('Permitted Diesel Engines'!C9="","",'Permitted Diesel Engines'!L9*0.14*'Emission Calculations'!G75/2000)</f>
      </c>
    </row>
    <row r="76" spans="2:15" ht="15">
      <c r="B76" s="135">
        <f>IF('Permitted Diesel Engines'!A10="","",'Permitted Diesel Engines'!A10)</f>
      </c>
      <c r="C76" s="103">
        <f>IF('Permitted Diesel Engines'!C10="","",'Permitted Diesel Engines'!C10)</f>
      </c>
      <c r="D76" s="57">
        <f>IF('Permitted Diesel Engines'!C10="","",LOOKUP('Permitted Diesel Engines'!C10,'Emission Factors'!$A$44:$A$45,'Emission Factors'!$C$44:$C$45))</f>
      </c>
      <c r="E76" s="57">
        <f>IF('Permitted Diesel Engines'!C10="","",'Permitted Diesel Engines'!K10)</f>
      </c>
      <c r="F76" s="57">
        <f>IF('Permitted Diesel Engines'!C10="","","MMBtu/hr")</f>
      </c>
      <c r="G76" s="57">
        <f>IF('Permitted Diesel Engines'!C10="","",LOOKUP('Permitted Diesel Engines'!C10,'Emission Factors'!$A$44:$A$45,'Emission Factors'!$O$44:$O$45))</f>
      </c>
      <c r="H76" s="57">
        <f>IF('Permitted Diesel Engines'!C10="","",LOOKUP('Permitted Diesel Engines'!C10,'Emission Factors'!$A$44:$A$45,'Emission Factors'!$D$44:$D$45))</f>
      </c>
      <c r="I76" s="134">
        <f>IF('Permitted Diesel Engines'!C10="","",LOOKUP('Permitted Diesel Engines'!C10,'Emission Factors'!$A$44:$A$45,'Emission Factors'!$P$44:$P$45))</f>
      </c>
      <c r="J76" s="130">
        <f>IF('Permitted Diesel Engines'!C10="","",E76*G76)</f>
      </c>
      <c r="K76" s="130"/>
      <c r="L76" s="57"/>
      <c r="M76" s="61"/>
      <c r="N76" s="61">
        <f>IF(G76="","",IF('Permitted Diesel Engines'!$D$3&gt;0,"",IF('Permitted Diesel Engines'!E10&gt;0,'Permitted Diesel Engines'!E10*'Emission Calculations'!G76*E76/2000,'Emission Calculations'!J76*8760/2000)))</f>
      </c>
      <c r="O76" s="61">
        <f>IF('Permitted Diesel Engines'!C10="","",'Permitted Diesel Engines'!L10*0.14*'Emission Calculations'!G76/2000)</f>
      </c>
    </row>
    <row r="77" spans="2:15" ht="15">
      <c r="B77" s="135">
        <f>IF('Permitted Diesel Engines'!A11="","",'Permitted Diesel Engines'!A11)</f>
      </c>
      <c r="C77" s="103">
        <f>IF('Permitted Diesel Engines'!C11="","",'Permitted Diesel Engines'!C11)</f>
      </c>
      <c r="D77" s="57">
        <f>IF('Permitted Diesel Engines'!C11="","",LOOKUP('Permitted Diesel Engines'!C11,'Emission Factors'!$A$44:$A$45,'Emission Factors'!$C$44:$C$45))</f>
      </c>
      <c r="E77" s="57">
        <f>IF('Permitted Diesel Engines'!C11="","",'Permitted Diesel Engines'!K11)</f>
      </c>
      <c r="F77" s="57">
        <f>IF('Permitted Diesel Engines'!C11="","","MMBtu/hr")</f>
      </c>
      <c r="G77" s="57">
        <f>IF('Permitted Diesel Engines'!C11="","",LOOKUP('Permitted Diesel Engines'!C11,'Emission Factors'!$A$44:$A$45,'Emission Factors'!$O$44:$O$45))</f>
      </c>
      <c r="H77" s="57">
        <f>IF('Permitted Diesel Engines'!C11="","",LOOKUP('Permitted Diesel Engines'!C11,'Emission Factors'!$A$44:$A$45,'Emission Factors'!$D$44:$D$45))</f>
      </c>
      <c r="I77" s="134">
        <f>IF('Permitted Diesel Engines'!C11="","",LOOKUP('Permitted Diesel Engines'!C11,'Emission Factors'!$A$44:$A$45,'Emission Factors'!$P$44:$P$45))</f>
      </c>
      <c r="J77" s="130">
        <f>IF('Permitted Diesel Engines'!C11="","",E77*G77)</f>
      </c>
      <c r="K77" s="130"/>
      <c r="L77" s="57"/>
      <c r="M77" s="61"/>
      <c r="N77" s="61">
        <f>IF(G77="","",IF('Permitted Diesel Engines'!$D$3&gt;0,"",IF('Permitted Diesel Engines'!E11&gt;0,'Permitted Diesel Engines'!E11*'Emission Calculations'!G77*E77/2000,'Emission Calculations'!J77*8760/2000)))</f>
      </c>
      <c r="O77" s="61">
        <f>IF('Permitted Diesel Engines'!C11="","",'Permitted Diesel Engines'!L11*0.14*'Emission Calculations'!G77/2000)</f>
      </c>
    </row>
    <row r="78" spans="2:15" ht="15">
      <c r="B78" s="135">
        <f>IF('Permitted Diesel Engines'!A12="","",'Permitted Diesel Engines'!A12)</f>
      </c>
      <c r="C78" s="103">
        <f>IF('Permitted Diesel Engines'!C12="","",'Permitted Diesel Engines'!C12)</f>
      </c>
      <c r="D78" s="57">
        <f>IF('Permitted Diesel Engines'!C12="","",LOOKUP('Permitted Diesel Engines'!C12,'Emission Factors'!$A$44:$A$45,'Emission Factors'!$C$44:$C$45))</f>
      </c>
      <c r="E78" s="57">
        <f>IF('Permitted Diesel Engines'!C12="","",'Permitted Diesel Engines'!K12)</f>
      </c>
      <c r="F78" s="57">
        <f>IF('Permitted Diesel Engines'!C12="","","MMBtu/hr")</f>
      </c>
      <c r="G78" s="57">
        <f>IF('Permitted Diesel Engines'!C12="","",LOOKUP('Permitted Diesel Engines'!C12,'Emission Factors'!$A$44:$A$45,'Emission Factors'!$O$44:$O$45))</f>
      </c>
      <c r="H78" s="57">
        <f>IF('Permitted Diesel Engines'!C12="","",LOOKUP('Permitted Diesel Engines'!C12,'Emission Factors'!$A$44:$A$45,'Emission Factors'!$D$44:$D$45))</f>
      </c>
      <c r="I78" s="134">
        <f>IF('Permitted Diesel Engines'!C12="","",LOOKUP('Permitted Diesel Engines'!C12,'Emission Factors'!$A$44:$A$45,'Emission Factors'!$P$44:$P$45))</f>
      </c>
      <c r="J78" s="130">
        <f>IF('Permitted Diesel Engines'!C12="","",E78*G78)</f>
      </c>
      <c r="K78" s="130"/>
      <c r="L78" s="57"/>
      <c r="M78" s="61"/>
      <c r="N78" s="61">
        <f>IF(G78="","",IF('Permitted Diesel Engines'!$D$3&gt;0,"",IF('Permitted Diesel Engines'!E12&gt;0,'Permitted Diesel Engines'!E12*'Emission Calculations'!G78*E78/2000,'Emission Calculations'!J78*8760/2000)))</f>
      </c>
      <c r="O78" s="61">
        <f>IF('Permitted Diesel Engines'!C12="","",'Permitted Diesel Engines'!L12*0.14*'Emission Calculations'!G78/2000)</f>
      </c>
    </row>
    <row r="79" spans="2:15" ht="15">
      <c r="B79" s="135">
        <f>IF('Permitted Diesel Engines'!A13="","",'Permitted Diesel Engines'!A13)</f>
      </c>
      <c r="C79" s="103">
        <f>IF('Permitted Diesel Engines'!C13="","",'Permitted Diesel Engines'!C13)</f>
      </c>
      <c r="D79" s="57">
        <f>IF('Permitted Diesel Engines'!C13="","",LOOKUP('Permitted Diesel Engines'!C13,'Emission Factors'!$A$44:$A$45,'Emission Factors'!$C$44:$C$45))</f>
      </c>
      <c r="E79" s="57">
        <f>IF('Permitted Diesel Engines'!C13="","",'Permitted Diesel Engines'!K13)</f>
      </c>
      <c r="F79" s="57">
        <f>IF('Permitted Diesel Engines'!C13="","","MMBtu/hr")</f>
      </c>
      <c r="G79" s="57">
        <f>IF('Permitted Diesel Engines'!C13="","",LOOKUP('Permitted Diesel Engines'!C13,'Emission Factors'!$A$44:$A$45,'Emission Factors'!$O$44:$O$45))</f>
      </c>
      <c r="H79" s="57">
        <f>IF('Permitted Diesel Engines'!C13="","",LOOKUP('Permitted Diesel Engines'!C13,'Emission Factors'!$A$44:$A$45,'Emission Factors'!$D$44:$D$45))</f>
      </c>
      <c r="I79" s="134">
        <f>IF('Permitted Diesel Engines'!C13="","",LOOKUP('Permitted Diesel Engines'!C13,'Emission Factors'!$A$44:$A$45,'Emission Factors'!$P$44:$P$45))</f>
      </c>
      <c r="J79" s="130">
        <f>IF('Permitted Diesel Engines'!C13="","",E79*G79)</f>
      </c>
      <c r="K79" s="130"/>
      <c r="L79" s="57"/>
      <c r="M79" s="61"/>
      <c r="N79" s="61">
        <f>IF(G79="","",IF('Permitted Diesel Engines'!$D$3&gt;0,"",IF('Permitted Diesel Engines'!E13&gt;0,'Permitted Diesel Engines'!E13*'Emission Calculations'!G79*E79/2000,'Emission Calculations'!J79*8760/2000)))</f>
      </c>
      <c r="O79" s="61">
        <f>IF('Permitted Diesel Engines'!C13="","",'Permitted Diesel Engines'!L13*0.14*'Emission Calculations'!G79/2000)</f>
      </c>
    </row>
    <row r="80" spans="2:15" ht="15">
      <c r="B80" s="58"/>
      <c r="C80" s="19"/>
      <c r="D80" s="20"/>
      <c r="E80" s="20"/>
      <c r="F80" s="20"/>
      <c r="G80" s="20"/>
      <c r="H80" s="20"/>
      <c r="I80" s="91"/>
      <c r="J80" s="59"/>
      <c r="K80" s="59"/>
      <c r="L80" s="20"/>
      <c r="M80" s="13" t="s">
        <v>38</v>
      </c>
      <c r="N80" s="48">
        <f>SUM(N71:N79)</f>
        <v>0</v>
      </c>
      <c r="O80" s="61">
        <f>SUM(O71:O79)</f>
        <v>0</v>
      </c>
    </row>
    <row r="81" ht="15">
      <c r="O81" s="140"/>
    </row>
    <row r="82" spans="2:15" ht="15" customHeight="1">
      <c r="B82" s="144"/>
      <c r="C82" s="143"/>
      <c r="D82" s="143"/>
      <c r="E82" s="144"/>
      <c r="F82" s="144"/>
      <c r="G82" s="144"/>
      <c r="H82" s="144"/>
      <c r="I82" s="144"/>
      <c r="J82" s="266" t="s">
        <v>144</v>
      </c>
      <c r="K82" s="159"/>
      <c r="L82" s="7"/>
      <c r="M82" s="222" t="s">
        <v>145</v>
      </c>
      <c r="N82" s="222" t="s">
        <v>21</v>
      </c>
      <c r="O82" s="266" t="s">
        <v>25</v>
      </c>
    </row>
    <row r="83" spans="2:15" ht="15" customHeight="1">
      <c r="B83" s="276" t="s">
        <v>18</v>
      </c>
      <c r="C83" s="266" t="s">
        <v>19</v>
      </c>
      <c r="D83" s="276" t="s">
        <v>16</v>
      </c>
      <c r="E83" s="266" t="s">
        <v>17</v>
      </c>
      <c r="F83" s="266" t="s">
        <v>53</v>
      </c>
      <c r="G83" s="266" t="s">
        <v>20</v>
      </c>
      <c r="H83" s="266" t="s">
        <v>53</v>
      </c>
      <c r="I83" s="266" t="s">
        <v>220</v>
      </c>
      <c r="J83" s="275"/>
      <c r="K83" s="175"/>
      <c r="L83" s="222" t="s">
        <v>22</v>
      </c>
      <c r="M83" s="274"/>
      <c r="N83" s="274"/>
      <c r="O83" s="275"/>
    </row>
    <row r="84" spans="2:15" ht="15">
      <c r="B84" s="277"/>
      <c r="C84" s="267"/>
      <c r="D84" s="277"/>
      <c r="E84" s="267"/>
      <c r="F84" s="267"/>
      <c r="G84" s="267"/>
      <c r="H84" s="267"/>
      <c r="I84" s="267"/>
      <c r="J84" s="267"/>
      <c r="K84" s="174"/>
      <c r="L84" s="223"/>
      <c r="M84" s="223"/>
      <c r="N84" s="223"/>
      <c r="O84" s="267"/>
    </row>
    <row r="85" spans="2:15" ht="15.75">
      <c r="B85" s="278" t="s">
        <v>181</v>
      </c>
      <c r="C85" s="278"/>
      <c r="D85" s="143"/>
      <c r="E85" s="144"/>
      <c r="F85" s="144"/>
      <c r="G85" s="144"/>
      <c r="H85" s="144"/>
      <c r="I85" s="145"/>
      <c r="J85" s="146"/>
      <c r="K85" s="146"/>
      <c r="L85" s="7"/>
      <c r="M85" s="10"/>
      <c r="N85" s="10"/>
      <c r="O85" s="166"/>
    </row>
    <row r="86" spans="1:15" s="119" customFormat="1" ht="15">
      <c r="A86" s="119">
        <f>IF('Facility Information'!$C$24="","",IF('Facility Information'!$C$26="yes",LOOKUP('Facility Processes'!C7,'Emission Factors'!$A$12:$A$17,'Emission Factors'!Q$12:Q$17),LOOKUP('Facility Processes'!C7,'Emission Factors'!$A$5:$A$10,'Emission Factors'!Q$5:Q$10)))</f>
      </c>
      <c r="B86" s="120">
        <f>IF(G86="","",IF('Facility Processes'!B7="","",'Facility Processes'!B7))</f>
      </c>
      <c r="C86" s="147">
        <f>IF(G86="","",'Facility Processes'!C7)</f>
      </c>
      <c r="D86" s="148">
        <f>IF(G86="","",IF('Facility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86" s="121">
        <f>IF(G86="","",IF('Facility Processes'!$G$7="","",'Facility Processes'!$G$7))</f>
      </c>
      <c r="F86" s="120">
        <f>IF(G86="","",IF('Facility Processes'!G7="","","tons/hr"))</f>
      </c>
      <c r="G86" s="120">
        <f>IF(A86="","",IF(A86&gt;0,A86,""))</f>
      </c>
      <c r="H86" s="120">
        <f>IF(G86="","","lbs/ton")</f>
      </c>
      <c r="I86" s="126">
        <f>IF(G86="","",LOOKUP(C86,'Emission Factors'!$A$5:$A$10,'Emission Factors'!$D$5:$D$10))</f>
      </c>
      <c r="J86" s="153">
        <f>IF(G86="","",G86*E86)</f>
      </c>
      <c r="K86" s="153"/>
      <c r="L86" s="120"/>
      <c r="M86" s="164"/>
      <c r="N86" s="61">
        <f>IF(G86="","",IF('Facility Information'!$C$30&gt;0,'Facility Information'!$C$30*G86/2000,IF('Facility Information'!$C$31&gt;0,'Facility Information'!$C$31*365*G86*E86/2000,E86*G86*8760/2000)))</f>
      </c>
      <c r="O86" s="164">
        <f>IF(G86="","",'Facility Processes'!$H$7*G86/2000)</f>
      </c>
    </row>
    <row r="87" spans="1:15" ht="15.75">
      <c r="A87" s="119"/>
      <c r="B87" s="265" t="s">
        <v>185</v>
      </c>
      <c r="C87" s="265"/>
      <c r="D87" s="143"/>
      <c r="E87" s="124">
        <f>IF(G87="","",IF('Facility Processes'!$G$7="","",'Facility Processes'!$G$7))</f>
      </c>
      <c r="F87" s="144"/>
      <c r="G87" s="122"/>
      <c r="H87" s="122">
        <f aca="true" t="shared" si="0" ref="H87:H131">IF(G87="","","lbs/ton")</f>
      </c>
      <c r="I87" s="127">
        <f>IF(G87="","",LOOKUP(C87,'Emission Factors'!$A$5:$A$10,'Emission Factors'!$D$5:$D$10))</f>
      </c>
      <c r="J87" s="132"/>
      <c r="K87" s="131"/>
      <c r="L87" s="7"/>
      <c r="M87" s="10"/>
      <c r="N87" s="10"/>
      <c r="O87" s="166"/>
    </row>
    <row r="88" spans="1:15" s="119" customFormat="1" ht="15">
      <c r="A88" s="119">
        <f>IF('Facility Information'!$C$24="","",IF('Facility Information'!$C$26="yes",LOOKUP('Facility Processes'!C7,'Emission Factors'!$A$12:$A$17,'Emission Factors'!S$12:S$17),LOOKUP('Facility Processes'!C7,'Emission Factors'!$A$5:$A$10,'Emission Factors'!S$5:S$10)))</f>
      </c>
      <c r="B88" s="120">
        <f>IF(G88="","",IF('Facility Processes'!B7="","",'Facility Processes'!B7))</f>
      </c>
      <c r="C88" s="147">
        <f>IF(G88="","",'Facility Processes'!C7)</f>
      </c>
      <c r="D88" s="148">
        <f>IF(G88="","",IF('Facility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88" s="154">
        <f>IF(G88="","",IF('Facility Processes'!$G$7="","",'Facility Processes'!$G$7))</f>
      </c>
      <c r="F88" s="120">
        <f>IF(G88="","",IF('Facility Processes'!G7="","","tons/hr"))</f>
      </c>
      <c r="G88" s="120">
        <f>IF(A88="","",IF(A88&gt;0,A88,""))</f>
      </c>
      <c r="H88" s="120">
        <f t="shared" si="0"/>
      </c>
      <c r="I88" s="126">
        <f>IF(G88="","",LOOKUP(C88,'Emission Factors'!$A$5:$A$10,'Emission Factors'!$D$5:$D$10))</f>
      </c>
      <c r="J88" s="156">
        <f>IF(G88="","",G88*E88)</f>
      </c>
      <c r="K88" s="156"/>
      <c r="L88" s="120"/>
      <c r="M88" s="164"/>
      <c r="N88" s="61">
        <f>IF(G88="","",IF('Facility Information'!$C$30&gt;0,'Facility Information'!$C$30*G88/2000,IF('Facility Information'!$C$31&gt;0,'Facility Information'!$C$31*365*G88*E88/2000,E88*G88*8760/2000)))</f>
      </c>
      <c r="O88" s="164">
        <f>IF(G88="","",'Facility Processes'!$H$7*G88/2000)</f>
      </c>
    </row>
    <row r="89" spans="1:15" ht="15.75">
      <c r="A89" s="119"/>
      <c r="B89" s="265" t="s">
        <v>104</v>
      </c>
      <c r="C89" s="265"/>
      <c r="D89" s="80"/>
      <c r="E89" s="124">
        <f>IF(G89="","",IF('Facility Processes'!$G$7="","",'Facility Processes'!$G$7))</f>
      </c>
      <c r="F89" s="159"/>
      <c r="G89" s="122"/>
      <c r="H89" s="122">
        <f t="shared" si="0"/>
      </c>
      <c r="I89" s="127">
        <f>IF(G89="","",LOOKUP(C89,'Emission Factors'!$A$5:$A$10,'Emission Factors'!$D$5:$D$10))</f>
      </c>
      <c r="J89" s="132"/>
      <c r="K89" s="131"/>
      <c r="L89" s="118"/>
      <c r="M89" s="165"/>
      <c r="N89" s="90"/>
      <c r="O89" s="168"/>
    </row>
    <row r="90" spans="1:15" s="119" customFormat="1" ht="15">
      <c r="A90" s="119">
        <f>IF('Facility Information'!$C$24="","",IF('Facility Information'!$C$26="yes",LOOKUP('Facility Processes'!C7,'Emission Factors'!$A$12:$A$17,'Emission Factors'!U$12:U$17),LOOKUP('Facility Processes'!C7,'Emission Factors'!$A$5:$A$10,'Emission Factors'!U$5:U$10)))</f>
      </c>
      <c r="B90" s="120">
        <f>IF(G90="","",IF('Facility Processes'!B7="","",'Facility Processes'!B7))</f>
      </c>
      <c r="C90" s="147">
        <f>IF(G90="","",'Facility Processes'!C7)</f>
      </c>
      <c r="D90" s="148">
        <f>IF(G90="","",IF('Facility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90" s="123">
        <f>IF(G90="","",IF('Facility Processes'!$G$7="","",'Facility Processes'!$G$7))</f>
      </c>
      <c r="F90" s="120">
        <f>IF(G90="","",IF('Facility Processes'!G7="","","tons/hr"))</f>
      </c>
      <c r="G90" s="120">
        <f>IF(A90="","",IF(A90&gt;0,A90,""))</f>
      </c>
      <c r="H90" s="120">
        <f t="shared" si="0"/>
      </c>
      <c r="I90" s="126">
        <f>IF(G90="","",LOOKUP(C90,'Emission Factors'!$A$5:$A$10,'Emission Factors'!$D$5:$D$10))</f>
      </c>
      <c r="J90" s="158">
        <f>IF(G90="","",G90*E90)</f>
      </c>
      <c r="K90" s="158"/>
      <c r="L90" s="120"/>
      <c r="M90" s="164"/>
      <c r="N90" s="61">
        <f>IF(G90="","",IF('Facility Information'!$C$30&gt;0,'Facility Information'!$C$30*G90/2000,IF('Facility Information'!$C$31&gt;0,'Facility Information'!$C$31*365*G90*E90/2000,E90*G90*8760/2000)))</f>
      </c>
      <c r="O90" s="164">
        <f>IF(G90="","",'Facility Processes'!$H$7*G90/2000)</f>
      </c>
    </row>
    <row r="91" spans="1:15" ht="15">
      <c r="A91" s="119"/>
      <c r="B91" s="135">
        <f>IF('Permitted Diesel Engines'!A9="","",'Permitted Diesel Engines'!A9)</f>
      </c>
      <c r="C91" s="103">
        <f>IF('Permitted Diesel Engines'!C9="","",'Permitted Diesel Engines'!C9)</f>
      </c>
      <c r="D91" s="57">
        <f>IF('Permitted Diesel Engines'!C9="","",LOOKUP('Permitted Diesel Engines'!C9,'Emission Factors'!$A$44:$A$45,'Emission Factors'!$C$44:$C$45))</f>
      </c>
      <c r="E91" s="57">
        <f>IF('Permitted Diesel Engines'!C9="","",'Permitted Diesel Engines'!K9)</f>
      </c>
      <c r="F91" s="57">
        <f>IF('Permitted Diesel Engines'!C9="","","MMBtu/hr")</f>
      </c>
      <c r="G91" s="123">
        <f>IF('Permitted Diesel Engines'!C9="","",LOOKUP('Permitted Diesel Engines'!C9,'Emission Factors'!$A$44:$A$45,'Emission Factors'!$W$44:$W$45))</f>
      </c>
      <c r="H91" s="123">
        <f>IF('Permitted Diesel Engines'!C9="","",LOOKUP('Permitted Diesel Engines'!C9,'Emission Factors'!$A$44:$A$45,'Emission Factors'!$D$44:$D$45))</f>
      </c>
      <c r="I91" s="157">
        <f>IF('Permitted Diesel Engines'!C9="","",LOOKUP('Permitted Diesel Engines'!C9,'Emission Factors'!$A$44:$A$45,'Emission Factors'!$X$44:$X$45))</f>
      </c>
      <c r="J91" s="130">
        <f>IF('Permitted Diesel Engines'!C9="","",E91*G91)</f>
      </c>
      <c r="K91" s="130"/>
      <c r="L91" s="8"/>
      <c r="M91" s="48"/>
      <c r="N91" s="61">
        <f>IF(G91="","",IF('Permitted Diesel Engines'!D3&gt;0,IF('Permitted Diesel Engines'!N12&gt;0,'Permitted Diesel Engines'!D3*0.14*'Emission Factors'!W45/2000,'Permitted Diesel Engines'!D3*0.14*'Emission Factors'!W44/2000),IF('Permitted Diesel Engines'!E9&gt;0,'Permitted Diesel Engines'!E9*'Emission Calculations'!G91*E91/2000,'Emission Calculations'!J91*8760/2000)))</f>
      </c>
      <c r="O91" s="61">
        <f>IF('Permitted Diesel Engines'!C9="","",'Permitted Diesel Engines'!L9*0.14*'Emission Calculations'!G91/2000)</f>
      </c>
    </row>
    <row r="92" spans="1:15" ht="15">
      <c r="A92" s="119"/>
      <c r="B92" s="135">
        <f>IF('Permitted Diesel Engines'!A10="","",'Permitted Diesel Engines'!A10)</f>
      </c>
      <c r="C92" s="103">
        <f>IF('Permitted Diesel Engines'!C10="","",'Permitted Diesel Engines'!C10)</f>
      </c>
      <c r="D92" s="57">
        <f>IF('Permitted Diesel Engines'!C10="","",LOOKUP('Permitted Diesel Engines'!C10,'Emission Factors'!$A$44:$A$45,'Emission Factors'!$C$44:$C$45))</f>
      </c>
      <c r="E92" s="57">
        <f>IF('Permitted Diesel Engines'!C10="","",'Permitted Diesel Engines'!K10)</f>
      </c>
      <c r="F92" s="57">
        <f>IF('Permitted Diesel Engines'!C10="","","MMBtu/hr")</f>
      </c>
      <c r="G92" s="120">
        <f>IF('Permitted Diesel Engines'!C10="","",LOOKUP('Permitted Diesel Engines'!C10,'Emission Factors'!$A$44:$A$45,'Emission Factors'!$W$44:$W$45))</f>
      </c>
      <c r="H92" s="120">
        <f>IF('Permitted Diesel Engines'!C10="","",LOOKUP('Permitted Diesel Engines'!C10,'Emission Factors'!$A$44:$A$45,'Emission Factors'!$D$44:$D$45))</f>
      </c>
      <c r="I92" s="126">
        <f>IF('Permitted Diesel Engines'!C10="","",LOOKUP('Permitted Diesel Engines'!C10,'Emission Factors'!$A$44:$A$45,'Emission Factors'!$X$44:$X$45))</f>
      </c>
      <c r="J92" s="130"/>
      <c r="K92" s="130"/>
      <c r="L92" s="8"/>
      <c r="M92" s="48"/>
      <c r="N92" s="48">
        <f>IF(G92="","",IF('Permitted Diesel Engines'!$D$3&gt;0,"",IF('Permitted Diesel Engines'!E10&gt;0,'Permitted Diesel Engines'!E10*'Emission Calculations'!G92*E92/2000,'Emission Calculations'!J92*8760/2000)))</f>
      </c>
      <c r="O92" s="61">
        <f>IF('Permitted Diesel Engines'!C10="","",'Permitted Diesel Engines'!L10*0.14*'Emission Calculations'!G92/2000)</f>
      </c>
    </row>
    <row r="93" spans="1:15" ht="15">
      <c r="A93" s="119"/>
      <c r="B93" s="135">
        <f>IF('Permitted Diesel Engines'!A11="","",'Permitted Diesel Engines'!A11)</f>
      </c>
      <c r="C93" s="103">
        <f>IF('Permitted Diesel Engines'!C11="","",'Permitted Diesel Engines'!C11)</f>
      </c>
      <c r="D93" s="57">
        <f>IF('Permitted Diesel Engines'!C11="","",LOOKUP('Permitted Diesel Engines'!C11,'Emission Factors'!$A$44:$A$45,'Emission Factors'!$C$44:$C$45))</f>
      </c>
      <c r="E93" s="57">
        <f>IF('Permitted Diesel Engines'!C11="","",'Permitted Diesel Engines'!K11)</f>
      </c>
      <c r="F93" s="57">
        <f>IF('Permitted Diesel Engines'!C11="","","MMBtu/hr")</f>
      </c>
      <c r="G93" s="120">
        <f>IF('Permitted Diesel Engines'!C11="","",LOOKUP('Permitted Diesel Engines'!C11,'Emission Factors'!$A$44:$A$45,'Emission Factors'!$W$44:$W$45))</f>
      </c>
      <c r="H93" s="120">
        <f>IF('Permitted Diesel Engines'!C11="","",LOOKUP('Permitted Diesel Engines'!C11,'Emission Factors'!$A$44:$A$45,'Emission Factors'!$D$44:$D$45))</f>
      </c>
      <c r="I93" s="126">
        <f>IF('Permitted Diesel Engines'!C11="","",LOOKUP('Permitted Diesel Engines'!C11,'Emission Factors'!$A$44:$A$45,'Emission Factors'!$X$44:$X$45))</f>
      </c>
      <c r="J93" s="130"/>
      <c r="K93" s="130"/>
      <c r="L93" s="8"/>
      <c r="M93" s="48"/>
      <c r="N93" s="48">
        <f>IF(G93="","",IF('Permitted Diesel Engines'!$D$3&gt;0,"",IF('Permitted Diesel Engines'!E11&gt;0,'Permitted Diesel Engines'!E11*'Emission Calculations'!G93*E93/2000,'Emission Calculations'!J93*8760/2000)))</f>
      </c>
      <c r="O93" s="61">
        <f>IF('Permitted Diesel Engines'!C11="","",'Permitted Diesel Engines'!L11*0.14*'Emission Calculations'!G93/2000)</f>
      </c>
    </row>
    <row r="94" spans="1:15" ht="15">
      <c r="A94" s="119"/>
      <c r="B94" s="15">
        <f>IF('Permitted Diesel Engines'!A12="","",'Permitted Diesel Engines'!A12)</f>
      </c>
      <c r="C94" s="9">
        <f>IF('Permitted Diesel Engines'!C12="","",'Permitted Diesel Engines'!C12)</f>
      </c>
      <c r="D94" s="8">
        <f>IF('Permitted Diesel Engines'!C12="","",LOOKUP('Permitted Diesel Engines'!C12,'Emission Factors'!$A$44:$A$45,'Emission Factors'!$C$44:$C$45))</f>
      </c>
      <c r="E94" s="8">
        <f>IF('Permitted Diesel Engines'!C12="","",'Permitted Diesel Engines'!K12)</f>
      </c>
      <c r="F94" s="8">
        <f>IF('Permitted Diesel Engines'!C12="","","MMBtu/hr")</f>
      </c>
      <c r="G94" s="120">
        <f>IF('Permitted Diesel Engines'!C12="","",LOOKUP('Permitted Diesel Engines'!C12,'Emission Factors'!$A$44:$A$45,'Emission Factors'!$W$44:$W$45))</f>
      </c>
      <c r="H94" s="120">
        <f>IF('Permitted Diesel Engines'!C12="","",LOOKUP('Permitted Diesel Engines'!C12,'Emission Factors'!$A$44:$A$45,'Emission Factors'!$D$44:$D$45))</f>
      </c>
      <c r="I94" s="125">
        <f>IF('Permitted Diesel Engines'!C12="","",LOOKUP('Permitted Diesel Engines'!C12,'Emission Factors'!$A$44:$A$45,'Emission Factors'!$X$44:$X$45))</f>
      </c>
      <c r="J94" s="11"/>
      <c r="K94" s="11"/>
      <c r="L94" s="8"/>
      <c r="M94" s="48"/>
      <c r="N94" s="48">
        <f>IF(G94="","",IF('Permitted Diesel Engines'!$D$3&gt;0,"",IF('Permitted Diesel Engines'!E12&gt;0,'Permitted Diesel Engines'!E12*'Emission Calculations'!G94*E94/2000,'Emission Calculations'!J94*8760/2000)))</f>
      </c>
      <c r="O94" s="61">
        <f>IF('Permitted Diesel Engines'!C12="","",'Permitted Diesel Engines'!L12*0.14*'Emission Calculations'!G94/2000)</f>
      </c>
    </row>
    <row r="95" spans="1:15" ht="15">
      <c r="A95" s="119"/>
      <c r="B95" s="15">
        <f>IF('Permitted Diesel Engines'!A13="","",'Permitted Diesel Engines'!A13)</f>
      </c>
      <c r="C95" s="9">
        <f>IF('Permitted Diesel Engines'!C13="","",'Permitted Diesel Engines'!C13)</f>
      </c>
      <c r="D95" s="8">
        <f>IF('Permitted Diesel Engines'!C13="","",LOOKUP('Permitted Diesel Engines'!C13,'Emission Factors'!$A$44:$A$45,'Emission Factors'!$C$44:$C$45))</f>
      </c>
      <c r="E95" s="8">
        <f>IF('Permitted Diesel Engines'!C13="","",'Permitted Diesel Engines'!K13)</f>
      </c>
      <c r="F95" s="8">
        <f>IF('Permitted Diesel Engines'!C13="","","MMBtu/hr")</f>
      </c>
      <c r="G95" s="120">
        <f>IF('Permitted Diesel Engines'!C13="","",LOOKUP('Permitted Diesel Engines'!C13,'Emission Factors'!$A$44:$A$45,'Emission Factors'!$W$44:$W$45))</f>
      </c>
      <c r="H95" s="120">
        <f>IF('Permitted Diesel Engines'!C13="","",LOOKUP('Permitted Diesel Engines'!C13,'Emission Factors'!$A$44:$A$45,'Emission Factors'!$D$44:$D$45))</f>
      </c>
      <c r="I95" s="125">
        <f>IF('Permitted Diesel Engines'!C13="","",LOOKUP('Permitted Diesel Engines'!C13,'Emission Factors'!$A$44:$A$45,'Emission Factors'!$X$44:$X$45))</f>
      </c>
      <c r="J95" s="11"/>
      <c r="K95" s="11"/>
      <c r="L95" s="8"/>
      <c r="M95" s="48"/>
      <c r="N95" s="48">
        <f>IF(G95="","",IF('Permitted Diesel Engines'!$D$3&gt;0,"",IF('Permitted Diesel Engines'!E13&gt;0,'Permitted Diesel Engines'!E13*'Emission Calculations'!G95*E95/2000,'Emission Calculations'!J95*8760/2000)))</f>
      </c>
      <c r="O95" s="61">
        <f>IF('Permitted Diesel Engines'!C13="","",'Permitted Diesel Engines'!L13*0.14*'Emission Calculations'!G95/2000)</f>
      </c>
    </row>
    <row r="96" spans="1:15" ht="15">
      <c r="A96" s="119"/>
      <c r="B96" s="140"/>
      <c r="C96" s="140"/>
      <c r="D96" s="140"/>
      <c r="E96" s="141"/>
      <c r="F96" s="141"/>
      <c r="G96" s="122"/>
      <c r="H96" s="122">
        <f t="shared" si="0"/>
      </c>
      <c r="I96" s="142"/>
      <c r="J96" s="141"/>
      <c r="K96" s="141"/>
      <c r="L96" s="178"/>
      <c r="M96" s="13" t="s">
        <v>38</v>
      </c>
      <c r="N96" s="48">
        <f>SUM(N90:N95)</f>
        <v>0</v>
      </c>
      <c r="O96" s="61">
        <f>SUM(O90:O95)</f>
        <v>0</v>
      </c>
    </row>
    <row r="97" spans="1:15" ht="15.75">
      <c r="A97" s="119"/>
      <c r="B97" s="265" t="s">
        <v>167</v>
      </c>
      <c r="C97" s="265"/>
      <c r="D97" s="143"/>
      <c r="E97" s="144"/>
      <c r="F97" s="144"/>
      <c r="G97" s="122"/>
      <c r="H97" s="122">
        <f t="shared" si="0"/>
      </c>
      <c r="I97" s="145"/>
      <c r="J97" s="146"/>
      <c r="K97" s="146"/>
      <c r="L97" s="7"/>
      <c r="M97" s="10"/>
      <c r="N97" s="10"/>
      <c r="O97" s="166"/>
    </row>
    <row r="98" spans="1:15" s="119" customFormat="1" ht="15">
      <c r="A98" s="119">
        <f>IF('Facility Information'!$C$24="","",IF('Facility Information'!$C$26="yes",LOOKUP('Facility Processes'!C7,'Emission Factors'!$A$12:$A$17,'Emission Factors'!W$12:W$17),LOOKUP('Facility Processes'!C7,'Emission Factors'!$A$5:$A$10,'Emission Factors'!W$5:W$10)))</f>
      </c>
      <c r="B98" s="120">
        <f>IF('Facility Processes'!B7="","",'Facility Processes'!B7)</f>
      </c>
      <c r="C98" s="147">
        <f>IF(G98="","",'Facility Processes'!C7)</f>
      </c>
      <c r="D98" s="148">
        <f>IF(G98="","",IF('Facility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98" s="120">
        <f>IF(G98="","",IF('Facility Processes'!$G$7="","",'Facility Processes'!$G$7))</f>
      </c>
      <c r="F98" s="120">
        <f>IF(G98="","",IF('Facility Processes'!G7="","","tons/hr"))</f>
      </c>
      <c r="G98" s="121">
        <f>IF(A98="","",IF(A98&gt;0,A98,""))</f>
      </c>
      <c r="H98" s="121">
        <f t="shared" si="0"/>
      </c>
      <c r="I98" s="126">
        <f>IF(G98="","",LOOKUP(C98,'Emission Factors'!$A$5:$A$10,'Emission Factors'!$D$5:$D$10))</f>
      </c>
      <c r="J98" s="130">
        <f>IF(G98="","",G98*E98)</f>
      </c>
      <c r="K98" s="130"/>
      <c r="L98" s="120"/>
      <c r="M98" s="164"/>
      <c r="N98" s="61">
        <f>IF(G98="","",IF('Facility Information'!$C$30&gt;0,'Facility Information'!$C$30*G98/2000,IF('Facility Information'!$C$31&gt;0,'Facility Information'!$C$31*365*G98*E98/2000,E98*G98*8760/2000)))</f>
      </c>
      <c r="O98" s="164">
        <f>IF(G98="","",'Facility Processes'!$H$7*G98/2000)</f>
      </c>
    </row>
    <row r="99" spans="1:15" ht="15.75">
      <c r="A99" s="119"/>
      <c r="B99" s="264" t="s">
        <v>15</v>
      </c>
      <c r="C99" s="264"/>
      <c r="D99" s="140"/>
      <c r="E99" s="140"/>
      <c r="F99" s="140"/>
      <c r="G99" s="124"/>
      <c r="H99" s="124">
        <f t="shared" si="0"/>
      </c>
      <c r="I99" s="149"/>
      <c r="J99" s="140"/>
      <c r="K99" s="140"/>
      <c r="O99" s="140"/>
    </row>
    <row r="100" spans="1:15" s="119" customFormat="1" ht="15">
      <c r="A100" s="119">
        <f>IF('Facility Information'!$C$24="","",IF('Facility Information'!$C$26="yes",LOOKUP('Facility Processes'!C7,'Emission Factors'!$A$12:$A$17,'Emission Factors'!Y$12:Y$17),LOOKUP('Facility Processes'!C7,'Emission Factors'!$A$5:$A$10,'Emission Factors'!Y$5:Y$10)))</f>
      </c>
      <c r="B100" s="120">
        <f>IF('Facility Processes'!B7="","",'Facility Processes'!B7)</f>
      </c>
      <c r="C100" s="147">
        <f>IF(G100="","",'Facility Processes'!C7)</f>
      </c>
      <c r="D100" s="148">
        <f>IF(G100="","",IF('Facility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100" s="120">
        <f>IF(G100="","",IF('Facility Processes'!$G$7="","",'Facility Processes'!$G$7))</f>
      </c>
      <c r="F100" s="120">
        <f>IF(G100="","",IF('Facility Processes'!G7="","","tons/hr"))</f>
      </c>
      <c r="G100" s="123">
        <f>IF(A100="","",IF(A100&gt;0,A100,""))</f>
      </c>
      <c r="H100" s="123">
        <f t="shared" si="0"/>
      </c>
      <c r="I100" s="126">
        <f>IF(G100="","",LOOKUP(C100,'Emission Factors'!$A$5:$A$10,'Emission Factors'!$D$5:$D$10))</f>
      </c>
      <c r="J100" s="130">
        <f>IF(G100="","",G100*E100)</f>
      </c>
      <c r="K100" s="130"/>
      <c r="L100" s="120"/>
      <c r="M100" s="164"/>
      <c r="N100" s="61">
        <f>IF(G100="","",IF('Facility Information'!$C$30&gt;0,'Facility Information'!$C$30*G100/2000,IF('Facility Information'!$C$31&gt;0,'Facility Information'!$C$31*365*G100*E100/2000,E100*G100*8760/2000)))</f>
      </c>
      <c r="O100" s="164">
        <f>IF(G100="","",'Facility Processes'!$H$7*G100/2000)</f>
      </c>
    </row>
    <row r="101" spans="1:15" s="119" customFormat="1" ht="15.75">
      <c r="A101" s="187">
        <f>IF('Facility Information'!$C$25="","",LOOKUP('Facility Processes'!$C$12,'Emission Factors'!$A$19:$A$21,'Emission Factors'!Y19:Y21))</f>
      </c>
      <c r="B101" s="189">
        <f>IF(G101="","",IF('Facility Processes'!B12="","",'Facility Processes'!B12))</f>
      </c>
      <c r="C101" s="186">
        <f>IF(G101="","",'Facility Processes'!$C$12)</f>
      </c>
      <c r="D101" s="148">
        <f>IF(G101="","",LOOKUP('Facility Processes'!$C$12,'Emission Factors'!$A$19:$A$21,'Emission Factors'!$C$19:$C$21))</f>
      </c>
      <c r="E101" s="120">
        <f>IF(G101="","",'Facility Processes'!$G$12)</f>
      </c>
      <c r="F101" s="120">
        <f>IF(G101="","",'Facility Processes'!$A$11&amp;"/hr")</f>
      </c>
      <c r="G101" s="120">
        <f>IF(A101="","",IF(A101&gt;0,A101,""))</f>
      </c>
      <c r="H101" s="120">
        <f>IF(G101="","",LOOKUP(C101,'Emission Factors'!$A$19:$A$21,'Emission Factors'!$P$19:$P$21))</f>
      </c>
      <c r="I101" s="126">
        <f>IF(G101="","",LOOKUP(C101,'Emission Factors'!$A$19:$A$21,'Emission Factors'!$D$19:$D$21))</f>
      </c>
      <c r="J101" s="130">
        <f>IF(G101="","",E101*G101)</f>
      </c>
      <c r="K101" s="179"/>
      <c r="L101" s="120"/>
      <c r="M101" s="164"/>
      <c r="N101" s="61">
        <f>IF(G101="","",E101*G101*8760/2000)</f>
      </c>
      <c r="O101" s="164">
        <f>IF(G101="","",'Facility Processes'!$H$12*G101/2000)</f>
      </c>
    </row>
    <row r="102" spans="1:15" ht="15">
      <c r="A102" s="119"/>
      <c r="B102" s="135">
        <f>IF('Permitted Diesel Engines'!A9="","",'Permitted Diesel Engines'!A9)</f>
      </c>
      <c r="C102" s="103">
        <f>IF('Permitted Diesel Engines'!C9="","",'Permitted Diesel Engines'!C9)</f>
      </c>
      <c r="D102" s="57">
        <f>IF('Permitted Diesel Engines'!C9="","",LOOKUP('Permitted Diesel Engines'!C9,'Emission Factors'!$A$44:$A$45,'Emission Factors'!$C$44:$C$45))</f>
      </c>
      <c r="E102" s="57">
        <f>IF('Permitted Diesel Engines'!C9="","",'Permitted Diesel Engines'!K9)</f>
      </c>
      <c r="F102" s="57">
        <f>IF('Permitted Diesel Engines'!C9="","","MMBtu/hr")</f>
      </c>
      <c r="G102" s="120">
        <f>IF('Permitted Diesel Engines'!C9="","",LOOKUP('Permitted Diesel Engines'!C9,'Emission Factors'!$A$44:$A$45,'Emission Factors'!$U$44:$U$45))</f>
      </c>
      <c r="H102" s="120">
        <f>IF('Permitted Diesel Engines'!C9="","",LOOKUP('Permitted Diesel Engines'!C9,'Emission Factors'!$A$44:$A$45,'Emission Factors'!$D$44:$D$45))</f>
      </c>
      <c r="I102" s="126">
        <f>IF('Permitted Diesel Engines'!C9="","",LOOKUP('Permitted Diesel Engines'!C9,'Emission Factors'!$A$44:$A$45,'Emission Factors'!$V$44:$V$45))</f>
      </c>
      <c r="J102" s="130">
        <f>IF('Permitted Diesel Engines'!C9="","",E102*G102)</f>
      </c>
      <c r="K102" s="130"/>
      <c r="L102" s="8"/>
      <c r="M102" s="48"/>
      <c r="N102" s="48">
        <f>IF(G102="","",IF('Permitted Diesel Engines'!D3&gt;0,IF('Permitted Diesel Engines'!N11&gt;0,'Permitted Diesel Engines'!D3*0.14*'Emission Factors'!U44/2000,'Permitted Diesel Engines'!D3*0.14*'Emission Factors'!U45/2000),IF('Permitted Diesel Engines'!E9&gt;0,'Permitted Diesel Engines'!E9*'Emission Calculations'!G102*E102/2000,'Emission Calculations'!J102*8760/2000)))</f>
      </c>
      <c r="O102" s="61">
        <f>IF('Permitted Diesel Engines'!C9="","",'Permitted Diesel Engines'!L9*0.14*'Emission Calculations'!G102/2000)</f>
      </c>
    </row>
    <row r="103" spans="1:15" ht="15">
      <c r="A103" s="119"/>
      <c r="B103" s="135">
        <f>IF('Permitted Diesel Engines'!A10="","",'Permitted Diesel Engines'!A10)</f>
      </c>
      <c r="C103" s="103">
        <f>IF('Permitted Diesel Engines'!C10="","",'Permitted Diesel Engines'!C10)</f>
      </c>
      <c r="D103" s="57">
        <f>IF('Permitted Diesel Engines'!C10="","",LOOKUP('Permitted Diesel Engines'!C10,'Emission Factors'!$A$44:$A$45,'Emission Factors'!$C$44:$C$45))</f>
      </c>
      <c r="E103" s="57">
        <f>IF('Permitted Diesel Engines'!C10="","",'Permitted Diesel Engines'!K10)</f>
      </c>
      <c r="F103" s="57">
        <f>IF('Permitted Diesel Engines'!C10="","","MMBtu/hr")</f>
      </c>
      <c r="G103" s="120">
        <f>IF('Permitted Diesel Engines'!C10="","",LOOKUP('Permitted Diesel Engines'!C10,'Emission Factors'!$A$44:$A$45,'Emission Factors'!$U$44:$U$45))</f>
      </c>
      <c r="H103" s="120">
        <f>IF('Permitted Diesel Engines'!C10="","",LOOKUP('Permitted Diesel Engines'!C10,'Emission Factors'!$A$44:$A$45,'Emission Factors'!$D$44:$D$45))</f>
      </c>
      <c r="I103" s="126">
        <f>IF('Permitted Diesel Engines'!C10="","",LOOKUP('Permitted Diesel Engines'!C10,'Emission Factors'!$A$44:$A$45,'Emission Factors'!$V$44:$V$45))</f>
      </c>
      <c r="J103" s="130">
        <f>IF('Permitted Diesel Engines'!C10="","",E103*G103)</f>
      </c>
      <c r="K103" s="130"/>
      <c r="L103" s="8"/>
      <c r="M103" s="48"/>
      <c r="N103" s="48">
        <f>IF(G103="","",IF('Permitted Diesel Engines'!$D$3&gt;0,"",IF('Permitted Diesel Engines'!E10&gt;0,'Permitted Diesel Engines'!E10*'Emission Calculations'!G103*E103/2000,'Emission Calculations'!J103*8760/2000)))</f>
      </c>
      <c r="O103" s="61">
        <f>IF('Permitted Diesel Engines'!C10="","",'Permitted Diesel Engines'!L10*0.14*'Emission Calculations'!G103/2000)</f>
      </c>
    </row>
    <row r="104" spans="1:15" ht="15">
      <c r="A104" s="119"/>
      <c r="B104" s="135">
        <f>IF('Permitted Diesel Engines'!A11="","",'Permitted Diesel Engines'!A11)</f>
      </c>
      <c r="C104" s="103">
        <f>IF('Permitted Diesel Engines'!C11="","",'Permitted Diesel Engines'!C11)</f>
      </c>
      <c r="D104" s="57">
        <f>IF('Permitted Diesel Engines'!C11="","",LOOKUP('Permitted Diesel Engines'!C11,'Emission Factors'!$A$44:$A$45,'Emission Factors'!$C$44:$C$45))</f>
      </c>
      <c r="E104" s="57">
        <f>IF('Permitted Diesel Engines'!C11="","",'Permitted Diesel Engines'!K11)</f>
      </c>
      <c r="F104" s="57">
        <f>IF('Permitted Diesel Engines'!C11="","","MMBtu/hr")</f>
      </c>
      <c r="G104" s="120">
        <f>IF('Permitted Diesel Engines'!C11="","",LOOKUP('Permitted Diesel Engines'!C11,'Emission Factors'!$A$44:$A$45,'Emission Factors'!$U$44:$U$45))</f>
      </c>
      <c r="H104" s="120">
        <f>IF('Permitted Diesel Engines'!C11="","",LOOKUP('Permitted Diesel Engines'!C11,'Emission Factors'!$A$44:$A$45,'Emission Factors'!$D$44:$D$45))</f>
      </c>
      <c r="I104" s="126">
        <f>IF('Permitted Diesel Engines'!C11="","",LOOKUP('Permitted Diesel Engines'!C11,'Emission Factors'!$A$44:$A$45,'Emission Factors'!$V$44:$V$45))</f>
      </c>
      <c r="J104" s="130">
        <f>IF('Permitted Diesel Engines'!C11="","",E104*G104)</f>
      </c>
      <c r="K104" s="130"/>
      <c r="L104" s="8"/>
      <c r="M104" s="48"/>
      <c r="N104" s="48">
        <f>IF(G104="","",IF('Permitted Diesel Engines'!$D$3&gt;0,"",IF('Permitted Diesel Engines'!E11&gt;0,'Permitted Diesel Engines'!E11*'Emission Calculations'!G104*E104/2000,'Emission Calculations'!J104*8760/2000)))</f>
      </c>
      <c r="O104" s="61">
        <f>IF('Permitted Diesel Engines'!C11="","",'Permitted Diesel Engines'!L11*0.14*'Emission Calculations'!G104/2000)</f>
      </c>
    </row>
    <row r="105" spans="1:15" ht="15">
      <c r="A105" s="119"/>
      <c r="B105" s="135">
        <f>IF('Permitted Diesel Engines'!A12="","",'Permitted Diesel Engines'!A12)</f>
      </c>
      <c r="C105" s="103">
        <f>IF('Permitted Diesel Engines'!C12="","",'Permitted Diesel Engines'!C12)</f>
      </c>
      <c r="D105" s="57">
        <f>IF('Permitted Diesel Engines'!C12="","",LOOKUP('Permitted Diesel Engines'!C12,'Emission Factors'!$A$44:$A$45,'Emission Factors'!$C$44:$C$45))</f>
      </c>
      <c r="E105" s="57">
        <f>IF('Permitted Diesel Engines'!C12="","",'Permitted Diesel Engines'!K12)</f>
      </c>
      <c r="F105" s="57">
        <f>IF('Permitted Diesel Engines'!C12="","","MMBtu/hr")</f>
      </c>
      <c r="G105" s="120">
        <f>IF('Permitted Diesel Engines'!C12="","",LOOKUP('Permitted Diesel Engines'!C12,'Emission Factors'!$A$44:$A$45,'Emission Factors'!$U$44:$U$45))</f>
      </c>
      <c r="H105" s="120">
        <f>IF('Permitted Diesel Engines'!C12="","",LOOKUP('Permitted Diesel Engines'!C12,'Emission Factors'!$A$44:$A$45,'Emission Factors'!$D$44:$D$45))</f>
      </c>
      <c r="I105" s="126">
        <f>IF('Permitted Diesel Engines'!C12="","",LOOKUP('Permitted Diesel Engines'!C12,'Emission Factors'!$A$44:$A$45,'Emission Factors'!$V$44:$V$45))</f>
      </c>
      <c r="J105" s="130">
        <f>IF('Permitted Diesel Engines'!C12="","",E105*G105)</f>
      </c>
      <c r="K105" s="130"/>
      <c r="L105" s="8"/>
      <c r="M105" s="48"/>
      <c r="N105" s="48">
        <f>IF(G105="","",IF('Permitted Diesel Engines'!$D$3&gt;0,"",IF('Permitted Diesel Engines'!E12&gt;0,'Permitted Diesel Engines'!E12*'Emission Calculations'!G105*E105/2000,'Emission Calculations'!J105*8760/2000)))</f>
      </c>
      <c r="O105" s="61">
        <f>IF('Permitted Diesel Engines'!C12="","",'Permitted Diesel Engines'!L12*0.14*'Emission Calculations'!G105/2000)</f>
      </c>
    </row>
    <row r="106" spans="1:15" ht="15">
      <c r="A106" s="119"/>
      <c r="B106" s="135">
        <f>IF('Permitted Diesel Engines'!A13="","",'Permitted Diesel Engines'!A13)</f>
      </c>
      <c r="C106" s="103">
        <f>IF('Permitted Diesel Engines'!C13="","",'Permitted Diesel Engines'!C13)</f>
      </c>
      <c r="D106" s="57">
        <f>IF('Permitted Diesel Engines'!C13="","",LOOKUP('Permitted Diesel Engines'!C13,'Emission Factors'!$A$44:$A$45,'Emission Factors'!$C$44:$C$45))</f>
      </c>
      <c r="E106" s="57">
        <f>IF('Permitted Diesel Engines'!C13="","",'Permitted Diesel Engines'!K13)</f>
      </c>
      <c r="F106" s="57">
        <f>IF('Permitted Diesel Engines'!C13="","","MMBtu/hr")</f>
      </c>
      <c r="G106" s="120">
        <f>IF('Permitted Diesel Engines'!C13="","",LOOKUP('Permitted Diesel Engines'!C13,'Emission Factors'!$A$44:$A$45,'Emission Factors'!$U$44:$U$45))</f>
      </c>
      <c r="H106" s="120">
        <f>IF('Permitted Diesel Engines'!C13="","",LOOKUP('Permitted Diesel Engines'!C13,'Emission Factors'!$A$44:$A$45,'Emission Factors'!$D$44:$D$45))</f>
      </c>
      <c r="I106" s="150">
        <f>IF('Permitted Diesel Engines'!C13="","",LOOKUP('Permitted Diesel Engines'!C13,'Emission Factors'!$A$44:$A$45,'Emission Factors'!$V$44:$V$45))</f>
      </c>
      <c r="J106" s="130">
        <f>IF('Permitted Diesel Engines'!C13="","",E106*G106)</f>
      </c>
      <c r="K106" s="130"/>
      <c r="L106" s="8"/>
      <c r="M106" s="48"/>
      <c r="N106" s="48">
        <f>IF(G106="","",IF('Permitted Diesel Engines'!$D$3&gt;0,"",IF('Permitted Diesel Engines'!E13&gt;0,'Permitted Diesel Engines'!E13*'Emission Calculations'!G106*E106/2000,'Emission Calculations'!J106*8760/2000)))</f>
      </c>
      <c r="O106" s="61">
        <f>IF('Permitted Diesel Engines'!C13="","",'Permitted Diesel Engines'!L13*0.14*'Emission Calculations'!G106/2000)</f>
      </c>
    </row>
    <row r="107" spans="1:15" ht="15">
      <c r="A107" s="119"/>
      <c r="B107" s="151"/>
      <c r="C107" s="24"/>
      <c r="D107" s="152"/>
      <c r="E107" s="152"/>
      <c r="F107" s="152"/>
      <c r="G107" s="122"/>
      <c r="H107" s="122">
        <f t="shared" si="0"/>
      </c>
      <c r="I107" s="133"/>
      <c r="J107" s="131"/>
      <c r="K107" s="131"/>
      <c r="L107" s="20"/>
      <c r="M107" s="13" t="s">
        <v>38</v>
      </c>
      <c r="N107" s="48">
        <f>SUM(N100:N106)</f>
        <v>0</v>
      </c>
      <c r="O107" s="61">
        <f>SUM(O100:O106)</f>
        <v>0</v>
      </c>
    </row>
    <row r="108" spans="1:15" ht="15.75">
      <c r="A108" s="119"/>
      <c r="B108" s="265" t="s">
        <v>168</v>
      </c>
      <c r="C108" s="265"/>
      <c r="D108" s="143"/>
      <c r="E108" s="144"/>
      <c r="F108" s="144"/>
      <c r="G108" s="122"/>
      <c r="H108" s="122">
        <f t="shared" si="0"/>
      </c>
      <c r="I108" s="145"/>
      <c r="J108" s="146"/>
      <c r="K108" s="146"/>
      <c r="L108" s="7"/>
      <c r="M108" s="10"/>
      <c r="N108" s="10"/>
      <c r="O108" s="166"/>
    </row>
    <row r="109" spans="1:15" s="119" customFormat="1" ht="15">
      <c r="A109" s="119">
        <f>IF('Facility Information'!$C$24="","",IF('Facility Information'!$C$26="yes",LOOKUP('Facility Processes'!C7,'Emission Factors'!$A$12:$A$17,'Emission Factors'!AA$12:AA$17),LOOKUP('Facility Processes'!C7,'Emission Factors'!$A$5:$A$10,'Emission Factors'!AA$5:AA$10)))</f>
      </c>
      <c r="B109" s="120">
        <f>IF(G109="","",'Facility Processes'!B7)</f>
      </c>
      <c r="C109" s="147">
        <f>IF(G109="","",'Facility Processes'!C7)</f>
      </c>
      <c r="D109" s="148">
        <f>IF(G109="","",IF('Facility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109" s="121">
        <f>IF(G109="","",IF('Facility Processes'!$G$7="","",'Facility Processes'!$G$7))</f>
      </c>
      <c r="F109" s="120">
        <f>IF(G109="","",IF('Facility Processes'!G7="","","tons/hr"))</f>
      </c>
      <c r="G109" s="121">
        <f>IF(A109="","",IF(A109&gt;0,A109,""))</f>
      </c>
      <c r="H109" s="121">
        <f t="shared" si="0"/>
      </c>
      <c r="I109" s="150">
        <f>IF(G109="","",LOOKUP(C109,'Emission Factors'!$A$5:$A$10,'Emission Factors'!$D$5:$D$10))</f>
      </c>
      <c r="J109" s="153">
        <f>IF(G109="","",G109*E109)</f>
      </c>
      <c r="K109" s="153"/>
      <c r="L109" s="120"/>
      <c r="M109" s="164"/>
      <c r="N109" s="61">
        <f>IF(G109="","",IF('Facility Information'!$C$30&gt;0,'Facility Information'!$C$30*G109/2000,IF('Facility Information'!$C$31&gt;0,'Facility Information'!$C$31*365*G109*E109/2000,E109*G109*8760/2000)))</f>
      </c>
      <c r="O109" s="164">
        <f>IF(G109="","",'Facility Processes'!$H$7*G109/2000)</f>
      </c>
    </row>
    <row r="110" spans="1:15" ht="15.75">
      <c r="A110" s="119"/>
      <c r="B110" s="265" t="s">
        <v>217</v>
      </c>
      <c r="C110" s="265"/>
      <c r="D110" s="143"/>
      <c r="E110" s="124"/>
      <c r="F110" s="144"/>
      <c r="G110" s="124"/>
      <c r="H110" s="124">
        <f t="shared" si="0"/>
      </c>
      <c r="I110" s="128">
        <f>IF(G110="","",LOOKUP(C110,'Emission Factors'!$A$5:$A$10,'Emission Factors'!$D$5:$D$10))</f>
      </c>
      <c r="J110" s="132"/>
      <c r="K110" s="131"/>
      <c r="L110" s="7"/>
      <c r="M110" s="10"/>
      <c r="N110" s="10"/>
      <c r="O110" s="166"/>
    </row>
    <row r="111" spans="1:15" s="119" customFormat="1" ht="15">
      <c r="A111" s="119">
        <f>IF('Facility Information'!$C$24="","",IF('Facility Information'!$C$26="yes",LOOKUP('Facility Processes'!C7,'Emission Factors'!$A$12:$A$17,'Emission Factors'!AC$12:AC$17),LOOKUP('Facility Processes'!C7,'Emission Factors'!$A$5:$A$10,'Emission Factors'!AC$5:AC$10)))</f>
      </c>
      <c r="B111" s="120">
        <f>IF(G111="","",'Facility Processes'!B7)</f>
      </c>
      <c r="C111" s="147">
        <f>IF(G111="","",'Facility Processes'!C7)</f>
      </c>
      <c r="D111" s="148">
        <f>IF(G111="","",IF('Facility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111" s="154">
        <f>IF(G111="","",IF('Facility Processes'!$G$7="","",'Facility Processes'!$G$7))</f>
      </c>
      <c r="F111" s="120">
        <f>IF(G111="","",IF('Facility Processes'!G7="","","tons/hr"))</f>
      </c>
      <c r="G111" s="154">
        <f>IF(A111="","",IF(A111&gt;0,A111,""))</f>
      </c>
      <c r="H111" s="154">
        <f t="shared" si="0"/>
      </c>
      <c r="I111" s="155">
        <f>IF(G111="","",LOOKUP(C111,'Emission Factors'!$A$5:$A$10,'Emission Factors'!$D$5:$D$10))</f>
      </c>
      <c r="J111" s="156">
        <f>IF(G111="","",G111*E111)</f>
      </c>
      <c r="K111" s="156"/>
      <c r="L111" s="120"/>
      <c r="M111" s="164"/>
      <c r="N111" s="61">
        <f>IF(G111="","",IF('Facility Information'!$C$30&gt;0,'Facility Information'!$C$30*G111/2000,IF('Facility Information'!$C$31&gt;0,'Facility Information'!$C$31*365*G111*E111/2000,E111*G111*8760/2000)))</f>
      </c>
      <c r="O111" s="164">
        <f>IF(G111="","",'Facility Processes'!$H$7*G111/2000)</f>
      </c>
    </row>
    <row r="112" spans="1:15" ht="15.75">
      <c r="A112" s="119"/>
      <c r="B112" s="265" t="s">
        <v>169</v>
      </c>
      <c r="C112" s="265"/>
      <c r="D112" s="143"/>
      <c r="E112" s="124"/>
      <c r="F112" s="144"/>
      <c r="G112" s="124"/>
      <c r="H112" s="124">
        <f t="shared" si="0"/>
      </c>
      <c r="I112" s="128">
        <f>IF(G112="","",LOOKUP(C112,'Emission Factors'!$A$5:$A$10,'Emission Factors'!$D$5:$D$10))</f>
      </c>
      <c r="J112" s="132"/>
      <c r="K112" s="131"/>
      <c r="L112" s="7"/>
      <c r="M112" s="10"/>
      <c r="N112" s="10"/>
      <c r="O112" s="166"/>
    </row>
    <row r="113" spans="1:15" s="119" customFormat="1" ht="15">
      <c r="A113" s="119">
        <f>IF('Facility Information'!$C$24="","",IF('Facility Information'!$C$26="yes",LOOKUP('Facility Processes'!C7,'Emission Factors'!$A$12:$A$17,'Emission Factors'!AE$12:AE$17),LOOKUP('Facility Processes'!C7,'Emission Factors'!$A$5:$A$10,'Emission Factors'!AE$5:AE$10)))</f>
      </c>
      <c r="B113" s="120">
        <f>IF(G113="","",'Facility Processes'!B7)</f>
      </c>
      <c r="C113" s="147">
        <f>IF(G113="","",'Facility Processes'!C7)</f>
      </c>
      <c r="D113" s="148">
        <f>IF(G113="","",IF('Facility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113" s="154">
        <f>IF(G113="","",IF('Facility Processes'!$G$7="","",'Facility Processes'!$G$7))</f>
      </c>
      <c r="F113" s="120">
        <f>IF(G113="","",IF('Facility Processes'!G7="","","tons/hr"))</f>
      </c>
      <c r="G113" s="154">
        <f>IF(A113="","",IF(A113&gt;0,A113,""))</f>
      </c>
      <c r="H113" s="154">
        <f t="shared" si="0"/>
      </c>
      <c r="I113" s="155">
        <f>IF(G113="","",LOOKUP(C113,'Emission Factors'!$A$5:$A$10,'Emission Factors'!$D$5:$D$10))</f>
      </c>
      <c r="J113" s="156">
        <f>IF(G113="","",G113*E113)</f>
      </c>
      <c r="K113" s="156"/>
      <c r="L113" s="120"/>
      <c r="M113" s="164"/>
      <c r="N113" s="61">
        <f>IF(G113="","",IF('Facility Information'!$C$30&gt;0,'Facility Information'!$C$30*G113/2000,IF('Facility Information'!$C$31&gt;0,'Facility Information'!$C$31*365*G113*E113/2000,E113*G113*8760/2000)))</f>
      </c>
      <c r="O113" s="164">
        <f>IF(G113="","",'Facility Processes'!$H$7*G113/2000)</f>
      </c>
    </row>
    <row r="114" spans="1:15" ht="15.75">
      <c r="A114" s="119"/>
      <c r="B114" s="265" t="s">
        <v>187</v>
      </c>
      <c r="C114" s="265"/>
      <c r="D114" s="143"/>
      <c r="E114" s="180"/>
      <c r="F114" s="144"/>
      <c r="G114" s="180"/>
      <c r="H114" s="180">
        <f t="shared" si="0"/>
      </c>
      <c r="I114" s="181">
        <f>IF(G114="","",LOOKUP(C114,'Emission Factors'!$A$5:$A$10,'Emission Factors'!$D$5:$D$10))</f>
      </c>
      <c r="J114" s="182"/>
      <c r="K114" s="131"/>
      <c r="L114" s="7"/>
      <c r="M114" s="10"/>
      <c r="N114" s="10"/>
      <c r="O114" s="166"/>
    </row>
    <row r="115" spans="1:15" s="119" customFormat="1" ht="15">
      <c r="A115" s="119">
        <f>IF('Facility Information'!$C$24="","",IF('Facility Information'!$C$26="yes",LOOKUP('Facility Processes'!C7,'Emission Factors'!$A$12:$A$17,'Emission Factors'!AG$12:AG$17),LOOKUP('Facility Processes'!C7,'Emission Factors'!$A$5:$A$10,'Emission Factors'!AG$5:AG$10)))</f>
      </c>
      <c r="B115" s="120">
        <f>IF(G115="","",'Facility Processes'!B7)</f>
      </c>
      <c r="C115" s="147">
        <f>IF(G115="","",'Facility Processes'!C7)</f>
      </c>
      <c r="D115" s="148">
        <f>IF(G115="","",IF('Facility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115" s="154">
        <f>IF(G115="","",IF('Facility Processes'!$G$7="","",'Facility Processes'!$G$7))</f>
      </c>
      <c r="F115" s="120">
        <f>IF(G115="","",IF('Facility Processes'!G7="","","tons/hr"))</f>
      </c>
      <c r="G115" s="154">
        <f>IF(A115="","",IF(A115&gt;0,A115,""))</f>
      </c>
      <c r="H115" s="154">
        <f t="shared" si="0"/>
      </c>
      <c r="I115" s="155">
        <f>IF(G115="","",LOOKUP(C115,'Emission Factors'!$A$5:$A$10,'Emission Factors'!$D$5:$D$10))</f>
      </c>
      <c r="J115" s="156">
        <f>IF(G115="","",G115*E115)</f>
      </c>
      <c r="K115" s="156"/>
      <c r="L115" s="120"/>
      <c r="M115" s="164"/>
      <c r="N115" s="61">
        <f>IF(G115="","",IF('Facility Information'!$C$30&gt;0,'Facility Information'!$C$30*G115/2000,IF('Facility Information'!$C$31&gt;0,'Facility Information'!$C$31*365*G115*E115/2000,E115*G115*8760/2000)))</f>
      </c>
      <c r="O115" s="164">
        <f>IF(G115="","",'Facility Processes'!$H$7*G115/2000)</f>
      </c>
    </row>
    <row r="116" spans="1:15" ht="15.75">
      <c r="A116" s="119"/>
      <c r="B116" s="265" t="s">
        <v>182</v>
      </c>
      <c r="C116" s="265"/>
      <c r="D116" s="143"/>
      <c r="E116" s="124"/>
      <c r="F116" s="144"/>
      <c r="G116" s="124"/>
      <c r="H116" s="124">
        <f t="shared" si="0"/>
      </c>
      <c r="I116" s="128">
        <f>IF(G116="","",LOOKUP(C116,'Emission Factors'!$A$5:$A$10,'Emission Factors'!$D$5:$D$10))</f>
      </c>
      <c r="J116" s="132"/>
      <c r="K116" s="131"/>
      <c r="L116" s="7"/>
      <c r="M116" s="10"/>
      <c r="N116" s="10"/>
      <c r="O116" s="166"/>
    </row>
    <row r="117" spans="1:15" s="119" customFormat="1" ht="15">
      <c r="A117" s="119">
        <f>IF('Facility Information'!$C$24="","",IF('Facility Information'!$C$26="yes",LOOKUP('Facility Processes'!C7,'Emission Factors'!$A$12:$A$17,'Emission Factors'!AI$12:AI$17),LOOKUP('Facility Processes'!C7,'Emission Factors'!$A$5:$A$10,'Emission Factors'!AI$5:AI$10)))</f>
      </c>
      <c r="B117" s="120">
        <f>IF(G117="","",'Facility Processes'!B7)</f>
      </c>
      <c r="C117" s="147">
        <f>IF(G117="","",'Facility Processes'!C7)</f>
      </c>
      <c r="D117" s="148">
        <f>IF(G117="","",IF('Facility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117" s="154">
        <f>IF(G117="","",IF('Facility Processes'!$G$7="","",'Facility Processes'!$G$7))</f>
      </c>
      <c r="F117" s="120">
        <f>IF(G117="","",IF('Facility Processes'!G7="","","tons/hr"))</f>
      </c>
      <c r="G117" s="154">
        <f>IF(A117="","",IF(A117&gt;0,A117,""))</f>
      </c>
      <c r="H117" s="154">
        <f t="shared" si="0"/>
      </c>
      <c r="I117" s="155">
        <f>IF(G117="","",LOOKUP(C117,'Emission Factors'!$A$5:$A$10,'Emission Factors'!$D$5:$D$10))</f>
      </c>
      <c r="J117" s="156">
        <f>IF(G117="","",G117*E117)</f>
      </c>
      <c r="K117" s="156"/>
      <c r="L117" s="120"/>
      <c r="M117" s="164"/>
      <c r="N117" s="61">
        <f>IF(G117="","",IF('Facility Information'!$C$30&gt;0,'Facility Information'!$C$30*G117/2000,IF('Facility Information'!$C$31&gt;0,'Facility Information'!$C$31*365*G117*E117/2000,E117*G117*8760/2000)))</f>
      </c>
      <c r="O117" s="164">
        <f>IF(G117="","",'Facility Processes'!$H$7*G117/2000)</f>
      </c>
    </row>
    <row r="118" spans="1:15" ht="15.75">
      <c r="A118" s="119"/>
      <c r="B118" s="265" t="s">
        <v>170</v>
      </c>
      <c r="C118" s="265"/>
      <c r="D118" s="143"/>
      <c r="E118" s="124"/>
      <c r="F118" s="144"/>
      <c r="G118" s="124"/>
      <c r="H118" s="124">
        <f t="shared" si="0"/>
      </c>
      <c r="I118" s="128">
        <f>IF(G118="","",LOOKUP(C118,'Emission Factors'!$A$5:$A$10,'Emission Factors'!$D$5:$D$10))</f>
      </c>
      <c r="J118" s="132"/>
      <c r="K118" s="131"/>
      <c r="L118" s="7"/>
      <c r="M118" s="10"/>
      <c r="N118" s="10"/>
      <c r="O118" s="166"/>
    </row>
    <row r="119" spans="1:15" s="119" customFormat="1" ht="15">
      <c r="A119" s="119">
        <f>IF('Facility Information'!$C$24="","",IF('Facility Information'!$C$26="yes",LOOKUP('Facility Processes'!C7,'Emission Factors'!$A$12:$A$17,'Emission Factors'!AK$12:AK$17),LOOKUP('Facility Processes'!C7,'Emission Factors'!$A$5:$A$10,'Emission Factors'!AK$5:AK$10)))</f>
      </c>
      <c r="B119" s="120">
        <f>IF(G119="","",'Facility Processes'!B7)</f>
      </c>
      <c r="C119" s="147">
        <f>IF(G119="","",'Facility Processes'!C7)</f>
      </c>
      <c r="D119" s="148">
        <f>IF(G119="","",IF('Facility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119" s="154">
        <f>IF(G119="","",IF('Facility Processes'!$G$7="","",'Facility Processes'!$G$7))</f>
      </c>
      <c r="F119" s="120">
        <f>IF(G119="","",IF('Facility Processes'!G7="","","tons/hr"))</f>
      </c>
      <c r="G119" s="154">
        <f>IF(A119="","",IF(A119&gt;0,A119,""))</f>
      </c>
      <c r="H119" s="154">
        <f t="shared" si="0"/>
      </c>
      <c r="I119" s="155">
        <f>IF(G119="","",LOOKUP(C119,'Emission Factors'!$A$5:$A$10,'Emission Factors'!$D$5:$D$10))</f>
      </c>
      <c r="J119" s="156">
        <f>IF(G119="","",G119*E119)</f>
      </c>
      <c r="K119" s="156"/>
      <c r="L119" s="120"/>
      <c r="M119" s="164"/>
      <c r="N119" s="61">
        <f>IF(G119="","",IF('Facility Information'!$C$30&gt;0,'Facility Information'!$C$30*G119/2000,IF('Facility Information'!$C$31&gt;0,'Facility Information'!$C$31*365*G119*E119/2000,E119*G119*8760/2000)))</f>
      </c>
      <c r="O119" s="164">
        <f>IF(G119="","",'Facility Processes'!$H$7*G119/2000)</f>
      </c>
    </row>
    <row r="120" spans="1:15" ht="15.75">
      <c r="A120" s="119"/>
      <c r="B120" s="265" t="s">
        <v>171</v>
      </c>
      <c r="C120" s="265"/>
      <c r="D120" s="143"/>
      <c r="E120" s="124"/>
      <c r="F120" s="144"/>
      <c r="G120" s="124"/>
      <c r="H120" s="124">
        <f t="shared" si="0"/>
      </c>
      <c r="I120" s="128">
        <f>IF(G120="","",LOOKUP(C120,'Emission Factors'!$A$5:$A$10,'Emission Factors'!$D$5:$D$10))</f>
      </c>
      <c r="J120" s="132"/>
      <c r="K120" s="131"/>
      <c r="L120" s="144"/>
      <c r="M120" s="10"/>
      <c r="N120" s="10"/>
      <c r="O120" s="166"/>
    </row>
    <row r="121" spans="1:15" s="119" customFormat="1" ht="15">
      <c r="A121" s="119">
        <f>IF('Facility Information'!$C$24="","",IF('Facility Information'!$C$26="yes",LOOKUP('Facility Processes'!C7,'Emission Factors'!$A$12:$A$17,'Emission Factors'!AM$12:AM$17),LOOKUP('Facility Processes'!C7,'Emission Factors'!$A$5:$A$10,'Emission Factors'!AM$5:AM$10)))</f>
      </c>
      <c r="B121" s="120">
        <f>IF(G121="","",'Facility Processes'!B7)</f>
      </c>
      <c r="C121" s="147">
        <f>IF(G121="","",'Facility Processes'!C7)</f>
      </c>
      <c r="D121" s="148">
        <f>IF(G121="","",IF('Facility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121" s="154">
        <f>IF(G121="","",IF('Facility Processes'!$G$7="","",'Facility Processes'!$G$7))</f>
      </c>
      <c r="F121" s="120">
        <f>IF(G121="","",IF('Facility Processes'!G7="","","tons/hr"))</f>
      </c>
      <c r="G121" s="154">
        <f>IF(A121="","",IF(A121&gt;0,A121,""))</f>
      </c>
      <c r="H121" s="154">
        <f t="shared" si="0"/>
      </c>
      <c r="I121" s="155">
        <f>IF(G121="","",LOOKUP(C121,'Emission Factors'!$A$5:$A$10,'Emission Factors'!$D$5:$D$10))</f>
      </c>
      <c r="J121" s="156">
        <f>IF(G121="","",G121*E121)</f>
      </c>
      <c r="K121" s="156"/>
      <c r="L121" s="120"/>
      <c r="M121" s="164"/>
      <c r="N121" s="61">
        <f>IF(G121="","",IF('Facility Information'!$C$30&gt;0,'Facility Information'!$C$30*G121/2000,IF('Facility Information'!$C$31&gt;0,'Facility Information'!$C$31*365*G121*E121/2000,E121*G121*8760/2000)))</f>
      </c>
      <c r="O121" s="164">
        <f>IF(G121="","",'Facility Processes'!$H$7*G121/2000)</f>
      </c>
    </row>
    <row r="122" spans="1:15" ht="15.75">
      <c r="A122" s="119"/>
      <c r="B122" s="265" t="s">
        <v>172</v>
      </c>
      <c r="C122" s="265"/>
      <c r="D122" s="143"/>
      <c r="E122" s="124"/>
      <c r="F122" s="144"/>
      <c r="G122" s="124"/>
      <c r="H122" s="124">
        <f t="shared" si="0"/>
      </c>
      <c r="I122" s="128">
        <f>IF(G122="","",LOOKUP(C122,'Emission Factors'!$A$5:$A$10,'Emission Factors'!$D$5:$D$10))</f>
      </c>
      <c r="J122" s="132"/>
      <c r="K122" s="131"/>
      <c r="L122" s="7"/>
      <c r="M122" s="10"/>
      <c r="N122" s="10"/>
      <c r="O122" s="166"/>
    </row>
    <row r="123" spans="1:15" s="119" customFormat="1" ht="15">
      <c r="A123" s="119">
        <f>IF('Facility Information'!$C$24="","",IF('Facility Information'!$C$26="yes",LOOKUP('Facility Processes'!C7,'Emission Factors'!$A$12:$A$17,'Emission Factors'!AO$12:AO$17),LOOKUP('Facility Processes'!C7,'Emission Factors'!$A$5:$A$10,'Emission Factors'!AO$5:AO$10)))</f>
      </c>
      <c r="B123" s="120">
        <f>IF(G123="","",'Facility Processes'!B7)</f>
      </c>
      <c r="C123" s="147">
        <f>IF(G123="","",'Facility Processes'!C7)</f>
      </c>
      <c r="D123" s="148">
        <f>IF(G123="","",IF('Facility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123" s="154">
        <f>IF(G123="","",IF('Facility Processes'!$G$7="","",'Facility Processes'!$G$7))</f>
      </c>
      <c r="F123" s="120">
        <f>IF(G123="","",IF('Facility Processes'!G7="","","tons/hr"))</f>
      </c>
      <c r="G123" s="154">
        <f>IF(A123="","",IF(A123&gt;0,A123,""))</f>
      </c>
      <c r="H123" s="154">
        <f t="shared" si="0"/>
      </c>
      <c r="I123" s="155">
        <f>IF(G123="","",LOOKUP(C123,'Emission Factors'!$A$5:$A$10,'Emission Factors'!$D$5:$D$10))</f>
      </c>
      <c r="J123" s="156">
        <f>IF(G123="","",G123*E123)</f>
      </c>
      <c r="K123" s="156"/>
      <c r="L123" s="120"/>
      <c r="M123" s="164"/>
      <c r="N123" s="61">
        <f>IF(G123="","",IF('Facility Information'!$C$30&gt;0,'Facility Information'!$C$30*G123/2000,IF('Facility Information'!$C$31&gt;0,'Facility Information'!$C$31*365*G123*E123/2000,E123*G123*8760/2000)))</f>
      </c>
      <c r="O123" s="164">
        <f>IF(G123="","",'Facility Processes'!$H$7*G123/2000)</f>
      </c>
    </row>
    <row r="124" spans="1:15" ht="15.75">
      <c r="A124" s="119"/>
      <c r="B124" s="265" t="s">
        <v>173</v>
      </c>
      <c r="C124" s="265"/>
      <c r="D124" s="143"/>
      <c r="E124" s="124"/>
      <c r="F124" s="144"/>
      <c r="G124" s="124"/>
      <c r="H124" s="124">
        <f t="shared" si="0"/>
      </c>
      <c r="I124" s="128">
        <f>IF(G124="","",LOOKUP(C124,'Emission Factors'!$A$5:$A$10,'Emission Factors'!$D$5:$D$10))</f>
      </c>
      <c r="J124" s="132"/>
      <c r="K124" s="131"/>
      <c r="L124" s="7"/>
      <c r="M124" s="10"/>
      <c r="N124" s="10"/>
      <c r="O124" s="166"/>
    </row>
    <row r="125" spans="1:15" s="119" customFormat="1" ht="15">
      <c r="A125" s="119">
        <f>IF('Facility Information'!$C$24="","",IF('Facility Information'!$C$26="yes",LOOKUP('Facility Processes'!C7,'Emission Factors'!$A$12:$A$17,'Emission Factors'!AQ$12:AQ$17),LOOKUP('Facility Processes'!C7,'Emission Factors'!$A$5:$A$10,'Emission Factors'!AQ$5:AQ$10)))</f>
      </c>
      <c r="B125" s="120">
        <f>IF(G125="","",'Facility Processes'!B7)</f>
      </c>
      <c r="C125" s="147">
        <f>IF(G125="","",'Facility Processes'!C7)</f>
      </c>
      <c r="D125" s="148">
        <f>IF(G125="","",IF('Facility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125" s="154">
        <f>IF(G125="","",IF('Facility Processes'!$G$7="","",'Facility Processes'!$G$7))</f>
      </c>
      <c r="F125" s="120">
        <f>IF(G125="","",IF('Facility Processes'!G7="","","tons/hr"))</f>
      </c>
      <c r="G125" s="154">
        <f>IF(A125="","",IF(A125&gt;0,A125,""))</f>
      </c>
      <c r="H125" s="154">
        <f t="shared" si="0"/>
      </c>
      <c r="I125" s="155">
        <f>IF(G125="","",LOOKUP(C125,'Emission Factors'!$A$5:$A$10,'Emission Factors'!$D$5:$D$10))</f>
      </c>
      <c r="J125" s="156">
        <f>IF(G125="","",G125*E125)</f>
      </c>
      <c r="K125" s="156"/>
      <c r="L125" s="120"/>
      <c r="M125" s="164"/>
      <c r="N125" s="61">
        <f>IF(G125="","",IF('Facility Information'!$C$30&gt;0,'Facility Information'!$C$30*G125/2000,IF('Facility Information'!$C$31&gt;0,'Facility Information'!$C$31*365*G125*E125/2000,E125*G125*8760/2000)))</f>
      </c>
      <c r="O125" s="164">
        <f>IF(G125="","",'Facility Processes'!$H$7*G125/2000)</f>
      </c>
    </row>
    <row r="126" spans="1:15" ht="15.75">
      <c r="A126" s="119"/>
      <c r="B126" s="265" t="s">
        <v>212</v>
      </c>
      <c r="C126" s="265"/>
      <c r="D126" s="143"/>
      <c r="E126" s="124"/>
      <c r="F126" s="144"/>
      <c r="G126" s="124"/>
      <c r="H126" s="124">
        <f t="shared" si="0"/>
      </c>
      <c r="I126" s="128">
        <f>IF(G126="","",LOOKUP(C126,'Emission Factors'!$A$5:$A$10,'Emission Factors'!$D$5:$D$10))</f>
      </c>
      <c r="J126" s="132"/>
      <c r="K126" s="131"/>
      <c r="L126" s="7"/>
      <c r="M126" s="166"/>
      <c r="N126" s="166"/>
      <c r="O126" s="166"/>
    </row>
    <row r="127" spans="1:15" s="119" customFormat="1" ht="15">
      <c r="A127" s="119">
        <f>IF('Facility Information'!$C$24="","",IF('Facility Information'!$C$26="yes",LOOKUP('Facility Processes'!C7,'Emission Factors'!$A$12:$A$17,'Emission Factors'!AS$12:AS$17),LOOKUP('Facility Processes'!C7,'Emission Factors'!$A$5:$A$10,'Emission Factors'!AS$5:AS$10)))</f>
      </c>
      <c r="B127" s="120">
        <f>IF(G127="","",'Facility Processes'!B7)</f>
      </c>
      <c r="C127" s="147">
        <f>IF(G127="","",'Facility Processes'!C7)</f>
      </c>
      <c r="D127" s="148">
        <f>IF(G127="","",IF('Facility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127" s="154">
        <f>IF(G127="","",IF('Facility Processes'!$G$7="","",'Facility Processes'!$G$7))</f>
      </c>
      <c r="F127" s="120">
        <f>IF(G127="","",IF('Facility Processes'!G7="","","tons/hr"))</f>
      </c>
      <c r="G127" s="154">
        <f>IF(A127="","",IF(A127&gt;0,A127,""))</f>
      </c>
      <c r="H127" s="154">
        <f t="shared" si="0"/>
      </c>
      <c r="I127" s="155">
        <f>IF(G127="","",LOOKUP(C127,'Emission Factors'!$A$5:$A$10,'Emission Factors'!$D$5:$D$10))</f>
      </c>
      <c r="J127" s="156">
        <f>IF(G127="","",G127*E127)</f>
      </c>
      <c r="K127" s="156"/>
      <c r="L127" s="120"/>
      <c r="M127" s="164"/>
      <c r="N127" s="61">
        <f>IF(G127="","",IF('Facility Information'!$C$30&gt;0,'Facility Information'!$C$30*G127/2000,IF('Facility Information'!$C$31&gt;0,'Facility Information'!$C$31*365*G127*E127/2000,E127*G127*8760/2000)))</f>
      </c>
      <c r="O127" s="164">
        <f>IF(G127="","",'Facility Processes'!$H$7*G127/2000)</f>
      </c>
    </row>
    <row r="128" spans="1:15" ht="15.75">
      <c r="A128" s="119"/>
      <c r="B128" s="265" t="s">
        <v>213</v>
      </c>
      <c r="C128" s="265"/>
      <c r="D128" s="143"/>
      <c r="E128" s="124"/>
      <c r="F128" s="144"/>
      <c r="G128" s="124"/>
      <c r="H128" s="124">
        <f t="shared" si="0"/>
      </c>
      <c r="I128" s="128">
        <f>IF(G128="","",LOOKUP(C128,'Emission Factors'!$A$5:$A$10,'Emission Factors'!$D$5:$D$10))</f>
      </c>
      <c r="J128" s="132"/>
      <c r="K128" s="131"/>
      <c r="L128" s="7"/>
      <c r="M128" s="10"/>
      <c r="N128" s="10"/>
      <c r="O128" s="166"/>
    </row>
    <row r="129" spans="1:15" s="119" customFormat="1" ht="15">
      <c r="A129" s="119">
        <f>IF('Facility Information'!$C$24="","",IF('Facility Information'!$C$26="yes",LOOKUP('Facility Processes'!C7,'Emission Factors'!$A$12:$A$17,'Emission Factors'!AU$12:AU$17),LOOKUP('Facility Processes'!C7,'Emission Factors'!$A$5:$A$10,'Emission Factors'!AU$5:AU$10)))</f>
      </c>
      <c r="B129" s="120">
        <f>IF(G129="","",'Facility Processes'!B7)</f>
      </c>
      <c r="C129" s="147">
        <f>IF(G129="","",'Facility Processes'!C7)</f>
      </c>
      <c r="D129" s="148">
        <f>IF(G129="","",IF('Facility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129" s="154">
        <f>IF(G129="","",IF('Facility Processes'!$G$7="","",'Facility Processes'!$G$7))</f>
      </c>
      <c r="F129" s="120">
        <f>IF(G129="","",IF('Facility Processes'!G7="","","tons/hr"))</f>
      </c>
      <c r="G129" s="154">
        <f>IF(A129="","",IF(A129&gt;0,A129,""))</f>
      </c>
      <c r="H129" s="154">
        <f t="shared" si="0"/>
      </c>
      <c r="I129" s="155">
        <f>IF(G129="","",LOOKUP(C129,'Emission Factors'!$A$5:$A$10,'Emission Factors'!$D$5:$D$10))</f>
      </c>
      <c r="J129" s="156">
        <f>IF(G129="","",G129*E129)</f>
      </c>
      <c r="K129" s="156"/>
      <c r="L129" s="120"/>
      <c r="M129" s="164"/>
      <c r="N129" s="61">
        <f>IF(G129="","",IF('Facility Information'!$C$30&gt;0,'Facility Information'!$C$30*G129/2000,IF('Facility Information'!$C$31&gt;0,'Facility Information'!$C$31*365*G129*E129/2000,E129*G129*8760/2000)))</f>
      </c>
      <c r="O129" s="164">
        <f>IF(G129="","",'Facility Processes'!$H$7*G129/2000)</f>
      </c>
    </row>
    <row r="130" spans="1:15" ht="15.75">
      <c r="A130" s="119"/>
      <c r="B130" s="265" t="s">
        <v>214</v>
      </c>
      <c r="C130" s="265"/>
      <c r="D130" s="143"/>
      <c r="E130" s="124"/>
      <c r="F130" s="144"/>
      <c r="G130" s="124"/>
      <c r="H130" s="124">
        <f t="shared" si="0"/>
      </c>
      <c r="I130" s="128">
        <f>IF(G130="","",LOOKUP(C130,'Emission Factors'!$A$5:$A$10,'Emission Factors'!$D$5:$D$10))</f>
      </c>
      <c r="J130" s="132"/>
      <c r="K130" s="131"/>
      <c r="L130" s="7"/>
      <c r="M130" s="10"/>
      <c r="N130" s="10"/>
      <c r="O130" s="166"/>
    </row>
    <row r="131" spans="1:15" s="119" customFormat="1" ht="15">
      <c r="A131" s="119">
        <f>IF('Facility Information'!$C$24="","",IF('Facility Information'!$C$26="yes",LOOKUP('Facility Processes'!C7,'Emission Factors'!$A$12:$A$17,'Emission Factors'!AW$12:AW$17),LOOKUP('Facility Processes'!C7,'Emission Factors'!$A$5:$A$10,'Emission Factors'!AW$5:AW$10)))</f>
      </c>
      <c r="B131" s="120">
        <f>IF(G131="","",'Facility Processes'!B7)</f>
      </c>
      <c r="C131" s="147">
        <f>IF(G131="","",'Facility Processes'!C7)</f>
      </c>
      <c r="D131" s="148">
        <f>IF(G131="","",IF('Facility Information'!$C$26="Yes",LOOKUP('Facility Processes'!C7,'Emission Factors'!A12:A17,'Emission Factors'!C12:C17),IF('Facility Information'!$C$26="No",LOOKUP('Facility Processes'!C7,'Emission Factors'!A5:A10,'Emission Factors'!C5:C10))))</f>
      </c>
      <c r="E131" s="123">
        <f>IF(G131="","",IF('Facility Processes'!$G$7="","",'Facility Processes'!$G$7))</f>
      </c>
      <c r="F131" s="120">
        <f>IF(G131="","",IF('Facility Processes'!G7="","","tons/hr"))</f>
      </c>
      <c r="G131" s="123">
        <f>IF(A131="","",IF(A131&gt;0,A131,""))</f>
      </c>
      <c r="H131" s="123">
        <f t="shared" si="0"/>
      </c>
      <c r="I131" s="157">
        <f>IF(G131="","",LOOKUP(C131,'Emission Factors'!$A$5:$A$10,'Emission Factors'!$D$5:$D$10))</f>
      </c>
      <c r="J131" s="158">
        <f>IF(G131="","",G131*E131)</f>
      </c>
      <c r="K131" s="158"/>
      <c r="L131" s="120"/>
      <c r="M131" s="164"/>
      <c r="N131" s="61">
        <f>IF(G131="","",IF('Facility Information'!$C$30&gt;0,'Facility Information'!$C$30*G131/2000,IF('Facility Information'!$C$31&gt;0,'Facility Information'!$C$31*365*G131*E131/2000,E131*G131*8760/2000)))</f>
      </c>
      <c r="O131" s="164">
        <f>IF(G131="","",'Facility Processes'!$H$7*G131/2000)</f>
      </c>
    </row>
    <row r="132" spans="2:11" ht="15">
      <c r="B132" s="140"/>
      <c r="C132" s="140"/>
      <c r="D132" s="140"/>
      <c r="E132" s="140"/>
      <c r="F132" s="140"/>
      <c r="G132" s="141"/>
      <c r="H132" s="140"/>
      <c r="I132" s="140"/>
      <c r="J132" s="140"/>
      <c r="K132" s="140"/>
    </row>
  </sheetData>
  <sheetProtection password="EBF3" sheet="1"/>
  <mergeCells count="77">
    <mergeCell ref="B122:C122"/>
    <mergeCell ref="B124:C124"/>
    <mergeCell ref="B126:C126"/>
    <mergeCell ref="B128:C128"/>
    <mergeCell ref="B130:C130"/>
    <mergeCell ref="B112:C112"/>
    <mergeCell ref="B114:C114"/>
    <mergeCell ref="B116:C116"/>
    <mergeCell ref="B118:C118"/>
    <mergeCell ref="B120:C120"/>
    <mergeCell ref="I83:I84"/>
    <mergeCell ref="L83:L84"/>
    <mergeCell ref="B85:C85"/>
    <mergeCell ref="B87:C87"/>
    <mergeCell ref="B97:C97"/>
    <mergeCell ref="J82:J84"/>
    <mergeCell ref="G83:G84"/>
    <mergeCell ref="B108:C108"/>
    <mergeCell ref="B110:C110"/>
    <mergeCell ref="M82:M84"/>
    <mergeCell ref="N82:N84"/>
    <mergeCell ref="O82:O84"/>
    <mergeCell ref="B83:B84"/>
    <mergeCell ref="C83:C84"/>
    <mergeCell ref="D83:D84"/>
    <mergeCell ref="E83:E84"/>
    <mergeCell ref="F83:F84"/>
    <mergeCell ref="J41:J43"/>
    <mergeCell ref="M22:M24"/>
    <mergeCell ref="M41:M43"/>
    <mergeCell ref="L42:L43"/>
    <mergeCell ref="C23:C24"/>
    <mergeCell ref="D23:D24"/>
    <mergeCell ref="E23:E24"/>
    <mergeCell ref="I23:I24"/>
    <mergeCell ref="I42:I43"/>
    <mergeCell ref="M3:M5"/>
    <mergeCell ref="J3:J5"/>
    <mergeCell ref="J22:J24"/>
    <mergeCell ref="H4:H5"/>
    <mergeCell ref="L4:L5"/>
    <mergeCell ref="H23:H24"/>
    <mergeCell ref="N3:N5"/>
    <mergeCell ref="O3:O5"/>
    <mergeCell ref="N22:N24"/>
    <mergeCell ref="I4:I5"/>
    <mergeCell ref="L23:L24"/>
    <mergeCell ref="E42:E43"/>
    <mergeCell ref="G4:G5"/>
    <mergeCell ref="O22:O24"/>
    <mergeCell ref="N41:N43"/>
    <mergeCell ref="O41:O43"/>
    <mergeCell ref="C4:C5"/>
    <mergeCell ref="F23:F24"/>
    <mergeCell ref="G23:G24"/>
    <mergeCell ref="B4:B5"/>
    <mergeCell ref="D4:D5"/>
    <mergeCell ref="E4:E5"/>
    <mergeCell ref="F4:F5"/>
    <mergeCell ref="B23:B24"/>
    <mergeCell ref="B1:D1"/>
    <mergeCell ref="E51:F51"/>
    <mergeCell ref="B3:C3"/>
    <mergeCell ref="B22:C22"/>
    <mergeCell ref="B44:C44"/>
    <mergeCell ref="B52:C52"/>
    <mergeCell ref="F42:F43"/>
    <mergeCell ref="B42:B43"/>
    <mergeCell ref="C42:C43"/>
    <mergeCell ref="D42:D43"/>
    <mergeCell ref="B70:C70"/>
    <mergeCell ref="B99:C99"/>
    <mergeCell ref="B89:C89"/>
    <mergeCell ref="B60:C60"/>
    <mergeCell ref="G42:G43"/>
    <mergeCell ref="H42:H43"/>
    <mergeCell ref="H83:H84"/>
  </mergeCells>
  <printOptions/>
  <pageMargins left="0.7" right="0.7" top="0.75" bottom="0.75" header="0.3" footer="0.3"/>
  <pageSetup horizontalDpi="600" verticalDpi="600" orientation="portrait" r:id="rId1"/>
  <ignoredErrors>
    <ignoredError sqref="G16:G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140625" style="40" customWidth="1"/>
    <col min="2" max="2" width="22.28125" style="40" customWidth="1"/>
    <col min="3" max="4" width="9.140625" style="40" customWidth="1"/>
    <col min="5" max="5" width="10.421875" style="40" customWidth="1"/>
    <col min="6" max="6" width="9.140625" style="40" customWidth="1"/>
    <col min="7" max="7" width="14.00390625" style="40" bestFit="1" customWidth="1"/>
    <col min="8" max="9" width="9.140625" style="40" customWidth="1"/>
    <col min="10" max="10" width="9.8515625" style="40" customWidth="1"/>
    <col min="11" max="16384" width="9.140625" style="40" customWidth="1"/>
  </cols>
  <sheetData>
    <row r="1" spans="1:5" ht="21.75" customHeight="1">
      <c r="A1" s="279" t="s">
        <v>140</v>
      </c>
      <c r="B1" s="279"/>
      <c r="C1" s="279"/>
      <c r="D1" s="279"/>
      <c r="E1" s="279"/>
    </row>
    <row r="2" spans="1:5" ht="15.75" customHeight="1" thickBot="1">
      <c r="A2" s="305" t="s">
        <v>255</v>
      </c>
      <c r="B2" s="206"/>
      <c r="C2" s="206"/>
      <c r="D2" s="206"/>
      <c r="E2" s="206"/>
    </row>
    <row r="3" spans="2:5" ht="15.75" thickBot="1">
      <c r="B3" s="293" t="s">
        <v>26</v>
      </c>
      <c r="C3" s="294"/>
      <c r="D3" s="294"/>
      <c r="E3" s="295"/>
    </row>
    <row r="4" spans="2:5" ht="15">
      <c r="B4" s="4" t="s">
        <v>28</v>
      </c>
      <c r="C4" s="296" t="s">
        <v>29</v>
      </c>
      <c r="D4" s="297"/>
      <c r="E4" s="5" t="s">
        <v>30</v>
      </c>
    </row>
    <row r="5" spans="2:7" ht="15">
      <c r="B5" s="190" t="s">
        <v>31</v>
      </c>
      <c r="C5" s="291" t="s">
        <v>31</v>
      </c>
      <c r="D5" s="300"/>
      <c r="E5" s="195">
        <f>'Emission Calculations'!N20</f>
        <v>0</v>
      </c>
      <c r="G5" s="1">
        <f aca="true" t="shared" si="0" ref="G5:G10">IF(E5&gt;=100,"Potential Emissions are greater than Title V thresholds. Please contact the IAEAP or the Iowa DNR for assistance","")</f>
      </c>
    </row>
    <row r="6" spans="2:7" ht="15">
      <c r="B6" s="191" t="s">
        <v>32</v>
      </c>
      <c r="C6" s="283" t="s">
        <v>32</v>
      </c>
      <c r="D6" s="284"/>
      <c r="E6" s="195">
        <f>'Emission Calculations'!N39</f>
        <v>0</v>
      </c>
      <c r="G6" s="1">
        <f t="shared" si="0"/>
      </c>
    </row>
    <row r="7" spans="2:7" ht="15">
      <c r="B7" s="191" t="s">
        <v>11</v>
      </c>
      <c r="C7" s="280" t="s">
        <v>33</v>
      </c>
      <c r="D7" s="282"/>
      <c r="E7" s="195">
        <f>'Emission Calculations'!N51</f>
        <v>0</v>
      </c>
      <c r="G7" s="1">
        <f t="shared" si="0"/>
      </c>
    </row>
    <row r="8" spans="2:7" ht="15">
      <c r="B8" s="191" t="s">
        <v>34</v>
      </c>
      <c r="C8" s="280" t="s">
        <v>34</v>
      </c>
      <c r="D8" s="282"/>
      <c r="E8" s="195">
        <f>'Emission Calculations'!N59</f>
        <v>0</v>
      </c>
      <c r="G8" s="1">
        <f t="shared" si="0"/>
      </c>
    </row>
    <row r="9" spans="2:7" ht="15">
      <c r="B9" s="191" t="s">
        <v>13</v>
      </c>
      <c r="C9" s="280" t="s">
        <v>13</v>
      </c>
      <c r="D9" s="282"/>
      <c r="E9" s="195">
        <f>'Emission Calculations'!N69</f>
        <v>0</v>
      </c>
      <c r="G9" s="1">
        <f t="shared" si="0"/>
      </c>
    </row>
    <row r="10" spans="2:7" ht="15">
      <c r="B10" s="191" t="s">
        <v>14</v>
      </c>
      <c r="C10" s="280" t="s">
        <v>35</v>
      </c>
      <c r="D10" s="282"/>
      <c r="E10" s="195">
        <f>'Emission Calculations'!N80</f>
        <v>0</v>
      </c>
      <c r="G10" s="1">
        <f t="shared" si="0"/>
      </c>
    </row>
    <row r="11" spans="2:7" ht="15">
      <c r="B11" s="191" t="s">
        <v>231</v>
      </c>
      <c r="C11" s="280" t="s">
        <v>232</v>
      </c>
      <c r="D11" s="289"/>
      <c r="E11" s="195">
        <f>IF('Emission Calculations'!N86="",0,'Emission Calculations'!N86)</f>
        <v>0</v>
      </c>
      <c r="G11" s="1">
        <f>IF(E11&gt;=10,"Potential Emissions are greater than Title V thresholds. Please contact the IAEAP or the Iowa DNR for assistance","")</f>
      </c>
    </row>
    <row r="12" spans="2:7" ht="15">
      <c r="B12" s="191" t="s">
        <v>185</v>
      </c>
      <c r="C12" s="280" t="s">
        <v>233</v>
      </c>
      <c r="D12" s="282"/>
      <c r="E12" s="195">
        <f>IF('Emission Calculations'!N88="",0,'Emission Calculations'!N88)</f>
        <v>0</v>
      </c>
      <c r="G12" s="1">
        <f>IF(E12&gt;=10,"Potential Emissions are greater than Title V thresholds. Please contact the IAEAP or the Iowa DNR for assistance","")</f>
      </c>
    </row>
    <row r="13" spans="2:7" ht="15">
      <c r="B13" s="192" t="s">
        <v>104</v>
      </c>
      <c r="C13" s="287" t="s">
        <v>139</v>
      </c>
      <c r="D13" s="284"/>
      <c r="E13" s="195">
        <f>IF('Emission Calculations'!N96="",0,'Emission Calculations'!N96)</f>
        <v>0</v>
      </c>
      <c r="G13" s="1">
        <f aca="true" t="shared" si="1" ref="G13:G27">IF(E13&gt;=10,"Potential Emissions are greater than Title V thresholds. Please contact the IAEAP or the Iowa DNR for assistance","")</f>
      </c>
    </row>
    <row r="14" spans="2:7" ht="15">
      <c r="B14" s="192" t="s">
        <v>167</v>
      </c>
      <c r="C14" s="287" t="s">
        <v>234</v>
      </c>
      <c r="D14" s="284"/>
      <c r="E14" s="195">
        <f>IF('Emission Calculations'!N98="",0,'Emission Calculations'!N98)</f>
        <v>0</v>
      </c>
      <c r="G14" s="1">
        <f t="shared" si="1"/>
      </c>
    </row>
    <row r="15" spans="2:7" ht="15">
      <c r="B15" s="192" t="s">
        <v>15</v>
      </c>
      <c r="C15" s="287" t="s">
        <v>36</v>
      </c>
      <c r="D15" s="284"/>
      <c r="E15" s="195">
        <f>IF('Emission Calculations'!N107="",0,'Emission Calculations'!N107)</f>
        <v>0</v>
      </c>
      <c r="G15" s="1">
        <f t="shared" si="1"/>
      </c>
    </row>
    <row r="16" spans="2:7" ht="15">
      <c r="B16" s="192" t="s">
        <v>168</v>
      </c>
      <c r="C16" s="287" t="s">
        <v>235</v>
      </c>
      <c r="D16" s="284"/>
      <c r="E16" s="195">
        <f>IF('Emission Calculations'!N109="",0,'Emission Calculations'!N109)</f>
        <v>0</v>
      </c>
      <c r="G16" s="1">
        <f t="shared" si="1"/>
      </c>
    </row>
    <row r="17" spans="2:7" ht="15">
      <c r="B17" s="192" t="s">
        <v>217</v>
      </c>
      <c r="C17" s="287" t="s">
        <v>236</v>
      </c>
      <c r="D17" s="284"/>
      <c r="E17" s="195">
        <f>IF('Emission Calculations'!N111="",0,'Emission Calculations'!N111)</f>
        <v>0</v>
      </c>
      <c r="G17" s="1">
        <f t="shared" si="1"/>
      </c>
    </row>
    <row r="18" spans="2:7" ht="15">
      <c r="B18" s="192" t="s">
        <v>169</v>
      </c>
      <c r="C18" s="287" t="s">
        <v>237</v>
      </c>
      <c r="D18" s="284"/>
      <c r="E18" s="195">
        <f>IF('Emission Calculations'!N113="",0,'Emission Calculations'!N113)</f>
        <v>0</v>
      </c>
      <c r="G18" s="1">
        <f t="shared" si="1"/>
      </c>
    </row>
    <row r="19" spans="2:7" ht="15">
      <c r="B19" s="192" t="s">
        <v>187</v>
      </c>
      <c r="C19" s="287" t="s">
        <v>238</v>
      </c>
      <c r="D19" s="284"/>
      <c r="E19" s="195">
        <f>IF('Emission Calculations'!N115="",0,'Emission Calculations'!N115)</f>
        <v>0</v>
      </c>
      <c r="G19" s="1">
        <f t="shared" si="1"/>
      </c>
    </row>
    <row r="20" spans="2:7" ht="15">
      <c r="B20" s="192" t="s">
        <v>182</v>
      </c>
      <c r="C20" s="287" t="s">
        <v>239</v>
      </c>
      <c r="D20" s="284"/>
      <c r="E20" s="195">
        <f>IF('Emission Calculations'!N117="",0,'Emission Calculations'!N117)</f>
        <v>0</v>
      </c>
      <c r="G20" s="1">
        <f t="shared" si="1"/>
      </c>
    </row>
    <row r="21" spans="2:7" ht="15">
      <c r="B21" s="192" t="s">
        <v>170</v>
      </c>
      <c r="C21" s="287" t="s">
        <v>240</v>
      </c>
      <c r="D21" s="284"/>
      <c r="E21" s="195">
        <f>IF('Emission Calculations'!N119="",0,'Emission Calculations'!N119)</f>
        <v>0</v>
      </c>
      <c r="G21" s="1">
        <f t="shared" si="1"/>
      </c>
    </row>
    <row r="22" spans="2:7" ht="15">
      <c r="B22" s="192" t="s">
        <v>171</v>
      </c>
      <c r="C22" s="287" t="s">
        <v>242</v>
      </c>
      <c r="D22" s="284"/>
      <c r="E22" s="195">
        <f>IF('Emission Calculations'!N121="",0,'Emission Calculations'!N121)</f>
        <v>0</v>
      </c>
      <c r="G22" s="1">
        <f t="shared" si="1"/>
      </c>
    </row>
    <row r="23" spans="2:7" ht="15">
      <c r="B23" s="192" t="s">
        <v>172</v>
      </c>
      <c r="C23" s="287" t="s">
        <v>241</v>
      </c>
      <c r="D23" s="284"/>
      <c r="E23" s="195">
        <f>IF('Emission Calculations'!N123="",0,'Emission Calculations'!N123)</f>
        <v>0</v>
      </c>
      <c r="G23" s="1">
        <f t="shared" si="1"/>
      </c>
    </row>
    <row r="24" spans="2:7" ht="15">
      <c r="B24" s="192" t="s">
        <v>173</v>
      </c>
      <c r="C24" s="287" t="s">
        <v>245</v>
      </c>
      <c r="D24" s="284"/>
      <c r="E24" s="195">
        <f>IF('Emission Calculations'!N125="",0,'Emission Calculations'!N125)</f>
        <v>0</v>
      </c>
      <c r="G24" s="1">
        <f t="shared" si="1"/>
      </c>
    </row>
    <row r="25" spans="2:7" ht="15">
      <c r="B25" s="192" t="s">
        <v>212</v>
      </c>
      <c r="C25" s="287" t="s">
        <v>246</v>
      </c>
      <c r="D25" s="284"/>
      <c r="E25" s="195">
        <f>IF('Emission Calculations'!N127="",0,'Emission Calculations'!N127)</f>
        <v>0</v>
      </c>
      <c r="G25" s="1">
        <f t="shared" si="1"/>
      </c>
    </row>
    <row r="26" spans="2:7" ht="15">
      <c r="B26" s="192" t="s">
        <v>213</v>
      </c>
      <c r="C26" s="287" t="s">
        <v>247</v>
      </c>
      <c r="D26" s="284"/>
      <c r="E26" s="195">
        <f>IF('Emission Calculations'!N129="",0,'Emission Calculations'!N129)</f>
        <v>0</v>
      </c>
      <c r="G26" s="1">
        <f t="shared" si="1"/>
      </c>
    </row>
    <row r="27" spans="2:7" ht="15">
      <c r="B27" s="192" t="s">
        <v>214</v>
      </c>
      <c r="C27" s="287" t="s">
        <v>248</v>
      </c>
      <c r="D27" s="284"/>
      <c r="E27" s="195">
        <f>IF('Emission Calculations'!N131="",0,'Emission Calculations'!N131)</f>
        <v>0</v>
      </c>
      <c r="G27" s="1">
        <f t="shared" si="1"/>
      </c>
    </row>
    <row r="28" spans="2:7" ht="15.75" thickBot="1">
      <c r="B28" s="193" t="s">
        <v>37</v>
      </c>
      <c r="C28" s="285"/>
      <c r="D28" s="286"/>
      <c r="E28" s="196">
        <f>SUM(E11:E27)</f>
        <v>0</v>
      </c>
      <c r="G28" s="1">
        <f>IF(E28&gt;=25,"Potential Emissions are greater than Title V thresholds. Please contact the IAEAP or the Iowa DNR for assistance","")</f>
      </c>
    </row>
    <row r="30" ht="15.75" thickBot="1"/>
    <row r="31" spans="2:5" ht="15.75" thickBot="1">
      <c r="B31" s="293" t="s">
        <v>27</v>
      </c>
      <c r="C31" s="294"/>
      <c r="D31" s="294"/>
      <c r="E31" s="295"/>
    </row>
    <row r="32" spans="2:5" ht="15">
      <c r="B32" s="4" t="s">
        <v>28</v>
      </c>
      <c r="C32" s="298" t="s">
        <v>29</v>
      </c>
      <c r="D32" s="299"/>
      <c r="E32" s="194" t="s">
        <v>30</v>
      </c>
    </row>
    <row r="33" spans="2:7" ht="15">
      <c r="B33" s="2" t="s">
        <v>31</v>
      </c>
      <c r="C33" s="291" t="s">
        <v>31</v>
      </c>
      <c r="D33" s="292"/>
      <c r="E33" s="197">
        <f>'Emission Calculations'!O20</f>
        <v>0</v>
      </c>
      <c r="G33" s="1">
        <f aca="true" t="shared" si="2" ref="G33:G56">IF(E33&lt;=E5,"","Actual Emissions are greater than Potential Emissions. Please contact the IAEAP or the Iowa DNR for assistance")</f>
      </c>
    </row>
    <row r="34" spans="2:7" ht="15">
      <c r="B34" s="2" t="s">
        <v>32</v>
      </c>
      <c r="C34" s="283" t="s">
        <v>32</v>
      </c>
      <c r="D34" s="290"/>
      <c r="E34" s="198">
        <f>'Emission Calculations'!O39</f>
        <v>0</v>
      </c>
      <c r="G34" s="1">
        <f t="shared" si="2"/>
      </c>
    </row>
    <row r="35" spans="2:7" ht="15">
      <c r="B35" s="2" t="s">
        <v>11</v>
      </c>
      <c r="C35" s="280" t="s">
        <v>33</v>
      </c>
      <c r="D35" s="281"/>
      <c r="E35" s="198">
        <f>'Emission Calculations'!O51</f>
        <v>0</v>
      </c>
      <c r="G35" s="1">
        <f t="shared" si="2"/>
      </c>
    </row>
    <row r="36" spans="2:7" ht="15">
      <c r="B36" s="2" t="s">
        <v>34</v>
      </c>
      <c r="C36" s="280" t="s">
        <v>34</v>
      </c>
      <c r="D36" s="281"/>
      <c r="E36" s="198">
        <f>'Emission Calculations'!O59</f>
        <v>0</v>
      </c>
      <c r="G36" s="1">
        <f t="shared" si="2"/>
      </c>
    </row>
    <row r="37" spans="2:7" ht="15">
      <c r="B37" s="2" t="s">
        <v>13</v>
      </c>
      <c r="C37" s="280" t="s">
        <v>13</v>
      </c>
      <c r="D37" s="281"/>
      <c r="E37" s="198">
        <f>'Emission Calculations'!O69</f>
        <v>0</v>
      </c>
      <c r="G37" s="1">
        <f t="shared" si="2"/>
      </c>
    </row>
    <row r="38" spans="2:7" ht="15">
      <c r="B38" s="2" t="s">
        <v>14</v>
      </c>
      <c r="C38" s="280" t="s">
        <v>35</v>
      </c>
      <c r="D38" s="281"/>
      <c r="E38" s="198">
        <f>'Emission Calculations'!O80</f>
        <v>0</v>
      </c>
      <c r="G38" s="1">
        <f t="shared" si="2"/>
      </c>
    </row>
    <row r="39" spans="2:7" ht="15">
      <c r="B39" s="191" t="s">
        <v>231</v>
      </c>
      <c r="C39" s="280" t="s">
        <v>232</v>
      </c>
      <c r="D39" s="301"/>
      <c r="E39" s="198">
        <f>IF('Emission Calculations'!O86="",0,'Emission Calculations'!O86)</f>
        <v>0</v>
      </c>
      <c r="G39" s="1">
        <f t="shared" si="2"/>
      </c>
    </row>
    <row r="40" spans="2:7" ht="15">
      <c r="B40" s="191" t="s">
        <v>185</v>
      </c>
      <c r="C40" s="280" t="s">
        <v>233</v>
      </c>
      <c r="D40" s="281"/>
      <c r="E40" s="198">
        <f>IF('Emission Calculations'!O88="",0,'Emission Calculations'!O88)</f>
        <v>0</v>
      </c>
      <c r="G40" s="1">
        <f t="shared" si="2"/>
      </c>
    </row>
    <row r="41" spans="2:7" ht="15">
      <c r="B41" s="192" t="s">
        <v>104</v>
      </c>
      <c r="C41" s="287" t="s">
        <v>139</v>
      </c>
      <c r="D41" s="290"/>
      <c r="E41" s="198">
        <f>IF('Emission Calculations'!O96="",0,'Emission Calculations'!O96)</f>
        <v>0</v>
      </c>
      <c r="G41" s="1">
        <f t="shared" si="2"/>
      </c>
    </row>
    <row r="42" spans="2:7" ht="15">
      <c r="B42" s="192" t="s">
        <v>167</v>
      </c>
      <c r="C42" s="287" t="s">
        <v>234</v>
      </c>
      <c r="D42" s="290"/>
      <c r="E42" s="198">
        <f>IF('Emission Calculations'!O98="",0,'Emission Calculations'!O98)</f>
        <v>0</v>
      </c>
      <c r="G42" s="1">
        <f t="shared" si="2"/>
      </c>
    </row>
    <row r="43" spans="2:7" ht="15">
      <c r="B43" s="192" t="s">
        <v>15</v>
      </c>
      <c r="C43" s="287" t="s">
        <v>36</v>
      </c>
      <c r="D43" s="290"/>
      <c r="E43" s="199">
        <f>IF('Emission Calculations'!O107="",0,'Emission Calculations'!O107)</f>
        <v>0</v>
      </c>
      <c r="G43" s="1">
        <f t="shared" si="2"/>
      </c>
    </row>
    <row r="44" spans="2:7" ht="15">
      <c r="B44" s="192" t="s">
        <v>168</v>
      </c>
      <c r="C44" s="287" t="s">
        <v>235</v>
      </c>
      <c r="D44" s="290"/>
      <c r="E44" s="199">
        <f>IF('Emission Calculations'!O109="",0,'Emission Calculations'!O109)</f>
        <v>0</v>
      </c>
      <c r="G44" s="1">
        <f t="shared" si="2"/>
      </c>
    </row>
    <row r="45" spans="2:7" ht="15">
      <c r="B45" s="192" t="s">
        <v>217</v>
      </c>
      <c r="C45" s="287" t="s">
        <v>236</v>
      </c>
      <c r="D45" s="290"/>
      <c r="E45" s="199">
        <f>IF('Emission Calculations'!O111="",0,'Emission Calculations'!O111)</f>
        <v>0</v>
      </c>
      <c r="G45" s="1">
        <f t="shared" si="2"/>
      </c>
    </row>
    <row r="46" spans="2:7" ht="15">
      <c r="B46" s="192" t="s">
        <v>169</v>
      </c>
      <c r="C46" s="287" t="s">
        <v>237</v>
      </c>
      <c r="D46" s="290"/>
      <c r="E46" s="199">
        <f>IF('Emission Calculations'!O113="",0,'Emission Calculations'!O113)</f>
        <v>0</v>
      </c>
      <c r="G46" s="1">
        <f t="shared" si="2"/>
      </c>
    </row>
    <row r="47" spans="2:7" ht="15">
      <c r="B47" s="192" t="s">
        <v>187</v>
      </c>
      <c r="C47" s="287" t="s">
        <v>238</v>
      </c>
      <c r="D47" s="290"/>
      <c r="E47" s="199">
        <f>IF('Emission Calculations'!O115="",0,'Emission Calculations'!O115)</f>
        <v>0</v>
      </c>
      <c r="G47" s="1">
        <f t="shared" si="2"/>
      </c>
    </row>
    <row r="48" spans="2:7" ht="15">
      <c r="B48" s="192" t="s">
        <v>182</v>
      </c>
      <c r="C48" s="287" t="s">
        <v>239</v>
      </c>
      <c r="D48" s="290"/>
      <c r="E48" s="199">
        <f>IF('Emission Calculations'!O117="",0,'Emission Calculations'!O117)</f>
        <v>0</v>
      </c>
      <c r="G48" s="1">
        <f t="shared" si="2"/>
      </c>
    </row>
    <row r="49" spans="2:7" ht="15">
      <c r="B49" s="192" t="s">
        <v>170</v>
      </c>
      <c r="C49" s="287" t="s">
        <v>240</v>
      </c>
      <c r="D49" s="290"/>
      <c r="E49" s="199">
        <f>IF('Emission Calculations'!O119="",0,'Emission Calculations'!O119)</f>
        <v>0</v>
      </c>
      <c r="G49" s="1">
        <f t="shared" si="2"/>
      </c>
    </row>
    <row r="50" spans="2:7" ht="15">
      <c r="B50" s="192" t="s">
        <v>171</v>
      </c>
      <c r="C50" s="287" t="s">
        <v>242</v>
      </c>
      <c r="D50" s="284"/>
      <c r="E50" s="199">
        <f>IF('Emission Calculations'!O121="",0,'Emission Calculations'!O121)</f>
        <v>0</v>
      </c>
      <c r="G50" s="1">
        <f t="shared" si="2"/>
      </c>
    </row>
    <row r="51" spans="2:7" ht="15">
      <c r="B51" s="192" t="s">
        <v>172</v>
      </c>
      <c r="C51" s="287" t="s">
        <v>241</v>
      </c>
      <c r="D51" s="290"/>
      <c r="E51" s="199">
        <f>IF('Emission Calculations'!O123="",0,'Emission Calculations'!O123)</f>
        <v>0</v>
      </c>
      <c r="G51" s="1">
        <f t="shared" si="2"/>
      </c>
    </row>
    <row r="52" spans="2:7" ht="15">
      <c r="B52" s="192" t="s">
        <v>173</v>
      </c>
      <c r="C52" s="287" t="s">
        <v>245</v>
      </c>
      <c r="D52" s="284"/>
      <c r="E52" s="199">
        <f>IF('Emission Calculations'!O125="",0,'Emission Calculations'!O125)</f>
        <v>0</v>
      </c>
      <c r="G52" s="1">
        <f t="shared" si="2"/>
      </c>
    </row>
    <row r="53" spans="2:7" ht="15">
      <c r="B53" s="192" t="s">
        <v>212</v>
      </c>
      <c r="C53" s="287" t="s">
        <v>246</v>
      </c>
      <c r="D53" s="284"/>
      <c r="E53" s="199">
        <f>IF('Emission Calculations'!O127="",0,'Emission Calculations'!O127)</f>
        <v>0</v>
      </c>
      <c r="G53" s="1">
        <f t="shared" si="2"/>
      </c>
    </row>
    <row r="54" spans="2:7" ht="15">
      <c r="B54" s="192" t="s">
        <v>213</v>
      </c>
      <c r="C54" s="287" t="s">
        <v>247</v>
      </c>
      <c r="D54" s="284"/>
      <c r="E54" s="199">
        <f>IF('Emission Calculations'!O129="",0,'Emission Calculations'!O129)</f>
        <v>0</v>
      </c>
      <c r="G54" s="1">
        <f t="shared" si="2"/>
      </c>
    </row>
    <row r="55" spans="2:7" ht="15">
      <c r="B55" s="192" t="s">
        <v>214</v>
      </c>
      <c r="C55" s="287" t="s">
        <v>248</v>
      </c>
      <c r="D55" s="284"/>
      <c r="E55" s="199">
        <f>IF('Emission Calculations'!O131="",0,'Emission Calculations'!O131)</f>
        <v>0</v>
      </c>
      <c r="G55" s="1">
        <f t="shared" si="2"/>
      </c>
    </row>
    <row r="56" spans="2:7" ht="15.75" thickBot="1">
      <c r="B56" s="3" t="s">
        <v>37</v>
      </c>
      <c r="C56" s="285"/>
      <c r="D56" s="288"/>
      <c r="E56" s="200">
        <f>SUM(E39:E55)</f>
        <v>0</v>
      </c>
      <c r="G56" s="1">
        <f t="shared" si="2"/>
      </c>
    </row>
  </sheetData>
  <sheetProtection password="EBF3" sheet="1"/>
  <mergeCells count="53">
    <mergeCell ref="C51:D51"/>
    <mergeCell ref="C52:D52"/>
    <mergeCell ref="C53:D53"/>
    <mergeCell ref="C54:D54"/>
    <mergeCell ref="C55:D55"/>
    <mergeCell ref="C22:D22"/>
    <mergeCell ref="C50:D50"/>
    <mergeCell ref="C45:D45"/>
    <mergeCell ref="C46:D46"/>
    <mergeCell ref="C47:D47"/>
    <mergeCell ref="C49:D49"/>
    <mergeCell ref="C39:D39"/>
    <mergeCell ref="C40:D40"/>
    <mergeCell ref="C41:D41"/>
    <mergeCell ref="C42:D42"/>
    <mergeCell ref="C43:D43"/>
    <mergeCell ref="C44:D44"/>
    <mergeCell ref="C27:D27"/>
    <mergeCell ref="C26:D26"/>
    <mergeCell ref="C25:D25"/>
    <mergeCell ref="C24:D24"/>
    <mergeCell ref="C23:D23"/>
    <mergeCell ref="C48:D48"/>
    <mergeCell ref="B3:E3"/>
    <mergeCell ref="B31:E31"/>
    <mergeCell ref="C4:D4"/>
    <mergeCell ref="C32:D32"/>
    <mergeCell ref="C5:D5"/>
    <mergeCell ref="C10:D10"/>
    <mergeCell ref="C21:D21"/>
    <mergeCell ref="C20:D20"/>
    <mergeCell ref="C19:D19"/>
    <mergeCell ref="C18:D18"/>
    <mergeCell ref="C56:D56"/>
    <mergeCell ref="C37:D37"/>
    <mergeCell ref="C11:D11"/>
    <mergeCell ref="C34:D34"/>
    <mergeCell ref="C35:D35"/>
    <mergeCell ref="C33:D33"/>
    <mergeCell ref="C17:D17"/>
    <mergeCell ref="C16:D16"/>
    <mergeCell ref="C15:D15"/>
    <mergeCell ref="C14:D14"/>
    <mergeCell ref="A1:E1"/>
    <mergeCell ref="C38:D38"/>
    <mergeCell ref="C12:D12"/>
    <mergeCell ref="C36:D36"/>
    <mergeCell ref="C6:D6"/>
    <mergeCell ref="C7:D7"/>
    <mergeCell ref="C8:D8"/>
    <mergeCell ref="C28:D28"/>
    <mergeCell ref="C9:D9"/>
    <mergeCell ref="C13:D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57421875" style="40" customWidth="1"/>
    <col min="2" max="2" width="33.57421875" style="40" hidden="1" customWidth="1"/>
    <col min="3" max="3" width="9.140625" style="40" customWidth="1"/>
    <col min="4" max="4" width="39.7109375" style="40" customWidth="1"/>
    <col min="5" max="5" width="9.140625" style="40" customWidth="1"/>
    <col min="6" max="6" width="16.28125" style="40" bestFit="1" customWidth="1"/>
    <col min="7" max="7" width="9.140625" style="40" customWidth="1"/>
    <col min="8" max="8" width="16.140625" style="40" customWidth="1"/>
    <col min="9" max="9" width="6.8515625" style="40" customWidth="1"/>
    <col min="10" max="10" width="16.421875" style="40" customWidth="1"/>
    <col min="11" max="11" width="9.140625" style="40" customWidth="1"/>
    <col min="12" max="12" width="16.28125" style="40" bestFit="1" customWidth="1"/>
    <col min="13" max="13" width="9.140625" style="40" customWidth="1"/>
    <col min="14" max="14" width="16.28125" style="40" bestFit="1" customWidth="1"/>
    <col min="15" max="15" width="9.140625" style="40" customWidth="1"/>
    <col min="16" max="16" width="16.28125" style="40" bestFit="1" customWidth="1"/>
    <col min="17" max="17" width="12.00390625" style="40" customWidth="1"/>
    <col min="18" max="20" width="9.8515625" style="40" customWidth="1"/>
    <col min="21" max="21" width="14.00390625" style="40" bestFit="1" customWidth="1"/>
    <col min="22" max="22" width="16.28125" style="40" bestFit="1" customWidth="1"/>
    <col min="23" max="23" width="9.140625" style="40" customWidth="1"/>
    <col min="24" max="24" width="16.28125" style="40" bestFit="1" customWidth="1"/>
    <col min="25" max="26" width="10.00390625" style="40" bestFit="1" customWidth="1"/>
    <col min="27" max="32" width="9.140625" style="40" customWidth="1"/>
    <col min="33" max="34" width="10.00390625" style="40" customWidth="1"/>
    <col min="35" max="40" width="9.140625" style="40" customWidth="1"/>
    <col min="41" max="41" width="22.28125" style="40" bestFit="1" customWidth="1"/>
    <col min="42" max="44" width="9.140625" style="40" customWidth="1"/>
    <col min="45" max="46" width="10.421875" style="40" customWidth="1"/>
    <col min="47" max="48" width="9.140625" style="40" customWidth="1"/>
    <col min="49" max="49" width="12.140625" style="40" customWidth="1"/>
    <col min="50" max="50" width="9.57421875" style="40" customWidth="1"/>
    <col min="51" max="16384" width="9.140625" style="40" customWidth="1"/>
  </cols>
  <sheetData>
    <row r="1" spans="1:2" ht="18.75">
      <c r="A1" s="62" t="s">
        <v>142</v>
      </c>
      <c r="B1" s="62"/>
    </row>
    <row r="2" ht="15">
      <c r="C2" s="41"/>
    </row>
    <row r="3" spans="1:50" ht="15">
      <c r="A3" s="39" t="s">
        <v>8</v>
      </c>
      <c r="B3" s="39"/>
      <c r="C3" s="39" t="s">
        <v>16</v>
      </c>
      <c r="D3" s="39" t="s">
        <v>98</v>
      </c>
      <c r="E3" s="39" t="s">
        <v>89</v>
      </c>
      <c r="F3" s="39" t="s">
        <v>10</v>
      </c>
      <c r="G3" s="39" t="s">
        <v>90</v>
      </c>
      <c r="H3" s="39" t="s">
        <v>10</v>
      </c>
      <c r="I3" s="39" t="s">
        <v>11</v>
      </c>
      <c r="K3" s="39" t="s">
        <v>34</v>
      </c>
      <c r="M3" s="39" t="s">
        <v>13</v>
      </c>
      <c r="O3" s="40" t="s">
        <v>14</v>
      </c>
      <c r="Q3" s="40" t="s">
        <v>181</v>
      </c>
      <c r="S3" s="40" t="s">
        <v>185</v>
      </c>
      <c r="U3" s="40" t="s">
        <v>104</v>
      </c>
      <c r="W3" s="40" t="s">
        <v>167</v>
      </c>
      <c r="Y3" s="40" t="s">
        <v>15</v>
      </c>
      <c r="AA3" s="40" t="s">
        <v>168</v>
      </c>
      <c r="AC3" s="40" t="s">
        <v>186</v>
      </c>
      <c r="AE3" s="40" t="s">
        <v>169</v>
      </c>
      <c r="AG3" s="40" t="s">
        <v>187</v>
      </c>
      <c r="AI3" s="40" t="s">
        <v>182</v>
      </c>
      <c r="AK3" s="40" t="s">
        <v>170</v>
      </c>
      <c r="AM3" s="40" t="s">
        <v>171</v>
      </c>
      <c r="AO3" s="40" t="s">
        <v>172</v>
      </c>
      <c r="AQ3" s="40" t="s">
        <v>173</v>
      </c>
      <c r="AS3" s="302" t="s">
        <v>212</v>
      </c>
      <c r="AT3" s="302"/>
      <c r="AU3" s="302" t="s">
        <v>213</v>
      </c>
      <c r="AV3" s="302"/>
      <c r="AW3" s="302" t="s">
        <v>214</v>
      </c>
      <c r="AX3" s="302"/>
    </row>
    <row r="4" spans="1:8" ht="15">
      <c r="A4" s="45" t="s">
        <v>184</v>
      </c>
      <c r="B4" s="45"/>
      <c r="C4" s="178"/>
      <c r="D4" s="178"/>
      <c r="E4" s="178"/>
      <c r="F4" s="178"/>
      <c r="G4" s="178"/>
      <c r="H4" s="178"/>
    </row>
    <row r="5" spans="1:40" ht="15">
      <c r="A5" s="40" t="s">
        <v>223</v>
      </c>
      <c r="C5" s="40">
        <v>30500246</v>
      </c>
      <c r="D5" s="40" t="s">
        <v>199</v>
      </c>
      <c r="E5" s="40">
        <v>0.27</v>
      </c>
      <c r="F5" s="40" t="s">
        <v>175</v>
      </c>
      <c r="G5" s="40">
        <v>4.5</v>
      </c>
      <c r="H5" s="40" t="s">
        <v>175</v>
      </c>
      <c r="I5" s="40">
        <v>0.088</v>
      </c>
      <c r="J5" s="40" t="s">
        <v>175</v>
      </c>
      <c r="K5" s="40">
        <v>0.12</v>
      </c>
      <c r="L5" s="40" t="s">
        <v>175</v>
      </c>
      <c r="M5" s="40">
        <v>0.0082</v>
      </c>
      <c r="N5" s="40" t="s">
        <v>175</v>
      </c>
      <c r="O5" s="40">
        <v>0.4</v>
      </c>
      <c r="P5" s="40" t="s">
        <v>175</v>
      </c>
      <c r="Q5" s="40">
        <v>0.00032</v>
      </c>
      <c r="R5" s="40" t="s">
        <v>175</v>
      </c>
      <c r="U5" s="40">
        <v>0.00028</v>
      </c>
      <c r="V5" s="40" t="s">
        <v>175</v>
      </c>
      <c r="W5" s="40">
        <v>0.0022</v>
      </c>
      <c r="X5" s="40" t="s">
        <v>175</v>
      </c>
      <c r="Y5" s="40">
        <v>0.00074</v>
      </c>
      <c r="Z5" s="40" t="s">
        <v>175</v>
      </c>
      <c r="AI5" s="40">
        <v>0.00027</v>
      </c>
      <c r="AJ5" s="40" t="s">
        <v>175</v>
      </c>
      <c r="AK5" s="40">
        <v>0.001</v>
      </c>
      <c r="AL5" s="40" t="s">
        <v>175</v>
      </c>
      <c r="AM5" s="40">
        <v>0.0027</v>
      </c>
      <c r="AN5" s="40" t="s">
        <v>175</v>
      </c>
    </row>
    <row r="6" spans="1:40" ht="15">
      <c r="A6" s="40" t="s">
        <v>224</v>
      </c>
      <c r="C6" s="40">
        <v>30500245</v>
      </c>
      <c r="D6" s="40" t="s">
        <v>199</v>
      </c>
      <c r="E6" s="40">
        <v>0.27</v>
      </c>
      <c r="F6" s="40" t="s">
        <v>175</v>
      </c>
      <c r="G6" s="40">
        <v>4.5</v>
      </c>
      <c r="H6" s="40" t="s">
        <v>175</v>
      </c>
      <c r="I6" s="40">
        <v>0.0046</v>
      </c>
      <c r="J6" s="40" t="s">
        <v>175</v>
      </c>
      <c r="K6" s="40">
        <v>0.025</v>
      </c>
      <c r="L6" s="40" t="s">
        <v>175</v>
      </c>
      <c r="M6" s="40">
        <v>0.0082</v>
      </c>
      <c r="N6" s="40" t="s">
        <v>175</v>
      </c>
      <c r="O6" s="40">
        <v>0.4</v>
      </c>
      <c r="P6" s="40" t="s">
        <v>175</v>
      </c>
      <c r="Q6" s="40">
        <v>0.00032</v>
      </c>
      <c r="R6" s="40" t="s">
        <v>175</v>
      </c>
      <c r="U6" s="40">
        <v>0.00028</v>
      </c>
      <c r="V6" s="40" t="s">
        <v>175</v>
      </c>
      <c r="W6" s="40">
        <v>0.0022</v>
      </c>
      <c r="X6" s="40" t="s">
        <v>175</v>
      </c>
      <c r="Y6" s="40">
        <v>0.00074</v>
      </c>
      <c r="Z6" s="40" t="s">
        <v>175</v>
      </c>
      <c r="AI6" s="40">
        <v>0.00027</v>
      </c>
      <c r="AJ6" s="40" t="s">
        <v>175</v>
      </c>
      <c r="AK6" s="40">
        <v>0.001</v>
      </c>
      <c r="AL6" s="40" t="s">
        <v>175</v>
      </c>
      <c r="AM6" s="40">
        <v>0.0027</v>
      </c>
      <c r="AN6" s="40" t="s">
        <v>175</v>
      </c>
    </row>
    <row r="7" spans="1:40" ht="15">
      <c r="A7" s="40" t="s">
        <v>225</v>
      </c>
      <c r="C7" s="40">
        <v>30500247</v>
      </c>
      <c r="D7" s="40" t="s">
        <v>199</v>
      </c>
      <c r="E7" s="40">
        <v>0.27</v>
      </c>
      <c r="F7" s="40" t="s">
        <v>175</v>
      </c>
      <c r="G7" s="40">
        <v>4.5</v>
      </c>
      <c r="H7" s="40" t="s">
        <v>175</v>
      </c>
      <c r="I7" s="40">
        <v>0.088</v>
      </c>
      <c r="J7" s="40" t="s">
        <v>175</v>
      </c>
      <c r="K7" s="40">
        <v>0.12</v>
      </c>
      <c r="L7" s="40" t="s">
        <v>175</v>
      </c>
      <c r="M7" s="40">
        <v>0.036</v>
      </c>
      <c r="N7" s="40" t="s">
        <v>175</v>
      </c>
      <c r="O7" s="40">
        <v>0.4</v>
      </c>
      <c r="P7" s="40" t="s">
        <v>175</v>
      </c>
      <c r="Q7" s="40">
        <v>0.00032</v>
      </c>
      <c r="R7" s="40" t="s">
        <v>175</v>
      </c>
      <c r="U7" s="40">
        <v>0.00028</v>
      </c>
      <c r="V7" s="40" t="s">
        <v>175</v>
      </c>
      <c r="W7" s="40">
        <v>0.0022</v>
      </c>
      <c r="X7" s="40" t="s">
        <v>175</v>
      </c>
      <c r="Y7" s="40">
        <v>0.00074</v>
      </c>
      <c r="Z7" s="40" t="s">
        <v>175</v>
      </c>
      <c r="AI7" s="40">
        <v>0.00027</v>
      </c>
      <c r="AJ7" s="40" t="s">
        <v>175</v>
      </c>
      <c r="AK7" s="40">
        <v>0.001</v>
      </c>
      <c r="AL7" s="40" t="s">
        <v>175</v>
      </c>
      <c r="AM7" s="40">
        <v>0.0027</v>
      </c>
      <c r="AN7" s="40" t="s">
        <v>175</v>
      </c>
    </row>
    <row r="8" spans="1:50" ht="15">
      <c r="A8" s="40" t="s">
        <v>226</v>
      </c>
      <c r="C8" s="40">
        <v>30500258</v>
      </c>
      <c r="D8" s="40" t="s">
        <v>200</v>
      </c>
      <c r="E8" s="40">
        <v>1.54</v>
      </c>
      <c r="F8" s="40" t="s">
        <v>175</v>
      </c>
      <c r="G8" s="40">
        <v>6.5</v>
      </c>
      <c r="H8" s="40" t="s">
        <v>175</v>
      </c>
      <c r="I8" s="40">
        <v>0.011</v>
      </c>
      <c r="J8" s="40" t="s">
        <v>175</v>
      </c>
      <c r="K8" s="40">
        <v>0.055</v>
      </c>
      <c r="L8" s="40" t="s">
        <v>175</v>
      </c>
      <c r="M8" s="40">
        <v>0.032</v>
      </c>
      <c r="N8" s="40" t="s">
        <v>175</v>
      </c>
      <c r="O8" s="40">
        <v>0.13</v>
      </c>
      <c r="P8" s="40" t="s">
        <v>175</v>
      </c>
      <c r="U8" s="40">
        <v>0.00039</v>
      </c>
      <c r="V8" s="40" t="s">
        <v>175</v>
      </c>
      <c r="W8" s="40">
        <v>0.00024</v>
      </c>
      <c r="X8" s="40" t="s">
        <v>175</v>
      </c>
      <c r="Y8" s="40">
        <v>0.0031</v>
      </c>
      <c r="Z8" s="40" t="s">
        <v>175</v>
      </c>
      <c r="AA8" s="40">
        <v>0.00092</v>
      </c>
      <c r="AB8" s="40" t="s">
        <v>175</v>
      </c>
      <c r="AE8" s="40">
        <v>4.8E-05</v>
      </c>
      <c r="AF8" s="40" t="s">
        <v>175</v>
      </c>
      <c r="AK8" s="40">
        <v>0.0029</v>
      </c>
      <c r="AL8" s="40" t="s">
        <v>175</v>
      </c>
      <c r="AM8" s="40">
        <v>0.0002</v>
      </c>
      <c r="AN8" s="40" t="s">
        <v>175</v>
      </c>
      <c r="AO8" s="40">
        <v>4E-05</v>
      </c>
      <c r="AP8" s="40" t="s">
        <v>175</v>
      </c>
      <c r="AQ8" s="40">
        <v>0.0013</v>
      </c>
      <c r="AR8" s="40" t="s">
        <v>175</v>
      </c>
      <c r="AS8" s="40">
        <v>2.4E-05</v>
      </c>
      <c r="AT8" s="40" t="s">
        <v>175</v>
      </c>
      <c r="AU8" s="40">
        <v>0.00054</v>
      </c>
      <c r="AV8" s="40" t="s">
        <v>175</v>
      </c>
      <c r="AW8" s="40">
        <v>0.00065</v>
      </c>
      <c r="AX8" s="40" t="s">
        <v>175</v>
      </c>
    </row>
    <row r="9" spans="1:44" ht="15">
      <c r="A9" s="40" t="s">
        <v>227</v>
      </c>
      <c r="C9" s="40">
        <v>30500255</v>
      </c>
      <c r="D9" s="40" t="s">
        <v>201</v>
      </c>
      <c r="E9" s="40">
        <v>1.54</v>
      </c>
      <c r="F9" s="40" t="s">
        <v>175</v>
      </c>
      <c r="G9" s="40">
        <v>6.5</v>
      </c>
      <c r="H9" s="40" t="s">
        <v>175</v>
      </c>
      <c r="I9" s="40">
        <v>0.0034</v>
      </c>
      <c r="J9" s="40" t="s">
        <v>175</v>
      </c>
      <c r="K9" s="40">
        <v>0.026</v>
      </c>
      <c r="L9" s="40" t="s">
        <v>175</v>
      </c>
      <c r="M9" s="40">
        <v>0.032</v>
      </c>
      <c r="N9" s="40" t="s">
        <v>175</v>
      </c>
      <c r="O9" s="40">
        <v>0.13</v>
      </c>
      <c r="P9" s="40" t="s">
        <v>175</v>
      </c>
      <c r="U9" s="40">
        <v>0.00039</v>
      </c>
      <c r="V9" s="40" t="s">
        <v>175</v>
      </c>
      <c r="W9" s="40">
        <v>0.00024</v>
      </c>
      <c r="X9" s="40" t="s">
        <v>175</v>
      </c>
      <c r="Y9" s="40">
        <v>0.0031</v>
      </c>
      <c r="Z9" s="40" t="s">
        <v>175</v>
      </c>
      <c r="AA9" s="40">
        <v>0.00092</v>
      </c>
      <c r="AB9" s="40" t="s">
        <v>175</v>
      </c>
      <c r="AE9" s="40">
        <v>4.8E-05</v>
      </c>
      <c r="AF9" s="40" t="s">
        <v>175</v>
      </c>
      <c r="AK9" s="40">
        <v>0.00015</v>
      </c>
      <c r="AL9" s="40" t="s">
        <v>175</v>
      </c>
      <c r="AM9" s="40">
        <v>0.0002</v>
      </c>
      <c r="AN9" s="40" t="s">
        <v>175</v>
      </c>
      <c r="AO9" s="40">
        <v>4E-05</v>
      </c>
      <c r="AP9" s="40" t="s">
        <v>175</v>
      </c>
      <c r="AQ9" s="40">
        <v>6.3E-05</v>
      </c>
      <c r="AR9" s="40" t="s">
        <v>175</v>
      </c>
    </row>
    <row r="10" spans="1:42" ht="15">
      <c r="A10" s="40" t="s">
        <v>228</v>
      </c>
      <c r="C10" s="40">
        <v>30500261</v>
      </c>
      <c r="D10" s="40" t="s">
        <v>200</v>
      </c>
      <c r="E10" s="40">
        <v>1.54</v>
      </c>
      <c r="F10" s="40" t="s">
        <v>175</v>
      </c>
      <c r="G10" s="40">
        <v>6.5</v>
      </c>
      <c r="H10" s="40" t="s">
        <v>175</v>
      </c>
      <c r="I10" s="40">
        <v>0.058</v>
      </c>
      <c r="J10" s="40" t="s">
        <v>175</v>
      </c>
      <c r="K10" s="40">
        <v>0.055</v>
      </c>
      <c r="L10" s="40" t="s">
        <v>175</v>
      </c>
      <c r="M10" s="40">
        <v>0.032</v>
      </c>
      <c r="N10" s="40" t="s">
        <v>175</v>
      </c>
      <c r="O10" s="40">
        <v>0.13</v>
      </c>
      <c r="P10" s="40" t="s">
        <v>175</v>
      </c>
      <c r="Q10" s="40">
        <v>0.0013</v>
      </c>
      <c r="R10" s="40" t="s">
        <v>175</v>
      </c>
      <c r="S10" s="40">
        <v>2.6E-05</v>
      </c>
      <c r="T10" s="40" t="s">
        <v>175</v>
      </c>
      <c r="U10" s="40">
        <v>0.00039</v>
      </c>
      <c r="V10" s="40" t="s">
        <v>175</v>
      </c>
      <c r="W10" s="40">
        <v>0.00024</v>
      </c>
      <c r="X10" s="40" t="s">
        <v>175</v>
      </c>
      <c r="Y10" s="40">
        <v>0.0031</v>
      </c>
      <c r="Z10" s="40" t="s">
        <v>175</v>
      </c>
      <c r="AA10" s="40">
        <v>0.00092</v>
      </c>
      <c r="AB10" s="40" t="s">
        <v>175</v>
      </c>
      <c r="AC10" s="40">
        <v>0.00021</v>
      </c>
      <c r="AD10" s="40" t="s">
        <v>175</v>
      </c>
      <c r="AE10" s="40">
        <v>4.8E-05</v>
      </c>
      <c r="AF10" s="40" t="s">
        <v>175</v>
      </c>
      <c r="AG10" s="40">
        <v>0.00013</v>
      </c>
      <c r="AH10" s="40" t="s">
        <v>175</v>
      </c>
      <c r="AI10" s="40">
        <v>0.00016</v>
      </c>
      <c r="AJ10" s="40" t="s">
        <v>175</v>
      </c>
      <c r="AK10" s="40">
        <v>0.0029</v>
      </c>
      <c r="AL10" s="40" t="s">
        <v>175</v>
      </c>
      <c r="AM10" s="40">
        <v>0.0002</v>
      </c>
      <c r="AN10" s="40" t="s">
        <v>175</v>
      </c>
      <c r="AO10" s="40">
        <v>4E-05</v>
      </c>
      <c r="AP10" s="40" t="s">
        <v>175</v>
      </c>
    </row>
    <row r="11" spans="1:2" ht="15">
      <c r="A11" s="41" t="s">
        <v>183</v>
      </c>
      <c r="B11" s="41"/>
    </row>
    <row r="12" spans="1:40" ht="15">
      <c r="A12" s="40" t="s">
        <v>223</v>
      </c>
      <c r="C12" s="40">
        <v>30500246</v>
      </c>
      <c r="D12" s="40" t="s">
        <v>199</v>
      </c>
      <c r="E12" s="40">
        <v>0.0083</v>
      </c>
      <c r="F12" s="40" t="s">
        <v>175</v>
      </c>
      <c r="G12" s="40">
        <v>0.0098</v>
      </c>
      <c r="H12" s="40" t="s">
        <v>175</v>
      </c>
      <c r="I12" s="40">
        <v>0.088</v>
      </c>
      <c r="J12" s="40" t="s">
        <v>175</v>
      </c>
      <c r="K12" s="40">
        <v>0.12</v>
      </c>
      <c r="L12" s="40" t="s">
        <v>175</v>
      </c>
      <c r="M12" s="40">
        <v>0.0082</v>
      </c>
      <c r="N12" s="40" t="s">
        <v>175</v>
      </c>
      <c r="O12" s="40">
        <v>0.4</v>
      </c>
      <c r="P12" s="40" t="s">
        <v>175</v>
      </c>
      <c r="Q12" s="40">
        <v>0.00032</v>
      </c>
      <c r="R12" s="40" t="s">
        <v>175</v>
      </c>
      <c r="U12" s="40">
        <v>0.00028</v>
      </c>
      <c r="V12" s="40" t="s">
        <v>175</v>
      </c>
      <c r="W12" s="40">
        <v>0.0022</v>
      </c>
      <c r="X12" s="40" t="s">
        <v>175</v>
      </c>
      <c r="Y12" s="40">
        <v>0.00074</v>
      </c>
      <c r="Z12" s="40" t="s">
        <v>175</v>
      </c>
      <c r="AI12" s="40">
        <v>0.00027</v>
      </c>
      <c r="AJ12" s="40" t="s">
        <v>175</v>
      </c>
      <c r="AK12" s="40">
        <v>0.001</v>
      </c>
      <c r="AL12" s="40" t="s">
        <v>175</v>
      </c>
      <c r="AM12" s="40">
        <v>0.0027</v>
      </c>
      <c r="AN12" s="40" t="s">
        <v>175</v>
      </c>
    </row>
    <row r="13" spans="1:40" ht="15">
      <c r="A13" s="40" t="s">
        <v>224</v>
      </c>
      <c r="C13" s="40">
        <v>30500245</v>
      </c>
      <c r="D13" s="40" t="s">
        <v>199</v>
      </c>
      <c r="E13" s="40">
        <v>0.0083</v>
      </c>
      <c r="F13" s="40" t="s">
        <v>175</v>
      </c>
      <c r="G13" s="40">
        <v>0.0098</v>
      </c>
      <c r="H13" s="40" t="s">
        <v>175</v>
      </c>
      <c r="I13" s="40">
        <v>0.0046</v>
      </c>
      <c r="J13" s="40" t="s">
        <v>175</v>
      </c>
      <c r="K13" s="40">
        <v>0.025</v>
      </c>
      <c r="L13" s="40" t="s">
        <v>175</v>
      </c>
      <c r="M13" s="40">
        <v>0.0082</v>
      </c>
      <c r="N13" s="40" t="s">
        <v>175</v>
      </c>
      <c r="O13" s="40">
        <v>0.4</v>
      </c>
      <c r="P13" s="40" t="s">
        <v>175</v>
      </c>
      <c r="Q13" s="40">
        <v>0.00032</v>
      </c>
      <c r="R13" s="40" t="s">
        <v>175</v>
      </c>
      <c r="U13" s="40">
        <v>0.00028</v>
      </c>
      <c r="V13" s="40" t="s">
        <v>175</v>
      </c>
      <c r="W13" s="40">
        <v>0.0022</v>
      </c>
      <c r="X13" s="40" t="s">
        <v>175</v>
      </c>
      <c r="Y13" s="40">
        <v>0.00074</v>
      </c>
      <c r="Z13" s="40" t="s">
        <v>175</v>
      </c>
      <c r="AI13" s="40">
        <v>0.00027</v>
      </c>
      <c r="AJ13" s="40" t="s">
        <v>175</v>
      </c>
      <c r="AK13" s="40">
        <v>0.001</v>
      </c>
      <c r="AL13" s="40" t="s">
        <v>175</v>
      </c>
      <c r="AM13" s="40">
        <v>0.0027</v>
      </c>
      <c r="AN13" s="40" t="s">
        <v>175</v>
      </c>
    </row>
    <row r="14" spans="1:40" ht="15">
      <c r="A14" s="40" t="s">
        <v>225</v>
      </c>
      <c r="C14" s="40">
        <v>30500246</v>
      </c>
      <c r="D14" s="40" t="s">
        <v>199</v>
      </c>
      <c r="E14" s="40">
        <v>0.0083</v>
      </c>
      <c r="F14" s="40" t="s">
        <v>175</v>
      </c>
      <c r="G14" s="40">
        <v>0.0098</v>
      </c>
      <c r="H14" s="40" t="s">
        <v>175</v>
      </c>
      <c r="I14" s="40">
        <v>0.088</v>
      </c>
      <c r="J14" s="40" t="s">
        <v>175</v>
      </c>
      <c r="K14" s="40">
        <v>0.12</v>
      </c>
      <c r="L14" s="40" t="s">
        <v>175</v>
      </c>
      <c r="M14" s="40">
        <v>0.036</v>
      </c>
      <c r="N14" s="40" t="s">
        <v>175</v>
      </c>
      <c r="O14" s="40">
        <v>0.4</v>
      </c>
      <c r="P14" s="40" t="s">
        <v>175</v>
      </c>
      <c r="Q14" s="40">
        <v>0.00032</v>
      </c>
      <c r="R14" s="40" t="s">
        <v>175</v>
      </c>
      <c r="U14" s="40">
        <v>0.00028</v>
      </c>
      <c r="V14" s="40" t="s">
        <v>175</v>
      </c>
      <c r="W14" s="40">
        <v>0.0022</v>
      </c>
      <c r="X14" s="40" t="s">
        <v>175</v>
      </c>
      <c r="Y14" s="40">
        <v>0.00074</v>
      </c>
      <c r="Z14" s="40" t="s">
        <v>175</v>
      </c>
      <c r="AI14" s="40">
        <v>0.00027</v>
      </c>
      <c r="AJ14" s="40" t="s">
        <v>175</v>
      </c>
      <c r="AK14" s="40">
        <v>0.001</v>
      </c>
      <c r="AL14" s="40" t="s">
        <v>175</v>
      </c>
      <c r="AM14" s="40">
        <v>0.0027</v>
      </c>
      <c r="AN14" s="40" t="s">
        <v>175</v>
      </c>
    </row>
    <row r="15" spans="1:48" ht="15">
      <c r="A15" s="40" t="s">
        <v>229</v>
      </c>
      <c r="C15" s="40">
        <v>30500258</v>
      </c>
      <c r="D15" s="40" t="s">
        <v>200</v>
      </c>
      <c r="E15" s="40">
        <v>0.007</v>
      </c>
      <c r="F15" s="40" t="s">
        <v>175</v>
      </c>
      <c r="G15" s="40">
        <v>0.023</v>
      </c>
      <c r="H15" s="40" t="s">
        <v>175</v>
      </c>
      <c r="I15" s="40">
        <v>0.011</v>
      </c>
      <c r="J15" s="40" t="s">
        <v>175</v>
      </c>
      <c r="K15" s="40">
        <v>0.055</v>
      </c>
      <c r="L15" s="40" t="s">
        <v>175</v>
      </c>
      <c r="M15" s="40">
        <v>0.032</v>
      </c>
      <c r="N15" s="40" t="s">
        <v>175</v>
      </c>
      <c r="O15" s="40">
        <v>0.13</v>
      </c>
      <c r="P15" s="40" t="s">
        <v>175</v>
      </c>
      <c r="U15" s="40">
        <v>0.00039</v>
      </c>
      <c r="V15" s="40" t="s">
        <v>175</v>
      </c>
      <c r="W15" s="40">
        <v>0.00024</v>
      </c>
      <c r="X15" s="40" t="s">
        <v>175</v>
      </c>
      <c r="Y15" s="40">
        <v>0.0031</v>
      </c>
      <c r="Z15" s="40" t="s">
        <v>175</v>
      </c>
      <c r="AA15" s="40">
        <v>0.00092</v>
      </c>
      <c r="AB15" s="40" t="s">
        <v>175</v>
      </c>
      <c r="AE15" s="40">
        <v>4.8E-05</v>
      </c>
      <c r="AF15" s="40" t="s">
        <v>175</v>
      </c>
      <c r="AK15" s="40">
        <v>0.0029</v>
      </c>
      <c r="AL15" s="40" t="s">
        <v>175</v>
      </c>
      <c r="AM15" s="40">
        <v>0.0002</v>
      </c>
      <c r="AN15" s="40" t="s">
        <v>175</v>
      </c>
      <c r="AO15" s="40">
        <v>4E-05</v>
      </c>
      <c r="AP15" s="40" t="s">
        <v>175</v>
      </c>
      <c r="AU15" s="40">
        <v>1.5E-05</v>
      </c>
      <c r="AV15" s="40" t="s">
        <v>175</v>
      </c>
    </row>
    <row r="16" spans="1:44" ht="15">
      <c r="A16" s="40" t="s">
        <v>227</v>
      </c>
      <c r="C16" s="40">
        <v>30500255</v>
      </c>
      <c r="D16" s="40" t="s">
        <v>201</v>
      </c>
      <c r="E16" s="40">
        <v>0.007</v>
      </c>
      <c r="F16" s="40" t="s">
        <v>175</v>
      </c>
      <c r="G16" s="40">
        <v>0.023</v>
      </c>
      <c r="H16" s="40" t="s">
        <v>175</v>
      </c>
      <c r="I16" s="40">
        <v>0.0034</v>
      </c>
      <c r="J16" s="40" t="s">
        <v>175</v>
      </c>
      <c r="K16" s="40">
        <v>0.026</v>
      </c>
      <c r="L16" s="40" t="s">
        <v>175</v>
      </c>
      <c r="M16" s="40">
        <v>0.032</v>
      </c>
      <c r="N16" s="40" t="s">
        <v>175</v>
      </c>
      <c r="O16" s="40">
        <v>0.13</v>
      </c>
      <c r="P16" s="40" t="s">
        <v>175</v>
      </c>
      <c r="U16" s="40">
        <v>0.00039</v>
      </c>
      <c r="V16" s="40" t="s">
        <v>175</v>
      </c>
      <c r="W16" s="40">
        <v>0.00024</v>
      </c>
      <c r="X16" s="40" t="s">
        <v>175</v>
      </c>
      <c r="Y16" s="40">
        <v>0.0031</v>
      </c>
      <c r="Z16" s="40" t="s">
        <v>175</v>
      </c>
      <c r="AA16" s="40">
        <v>0.00092</v>
      </c>
      <c r="AB16" s="40" t="s">
        <v>175</v>
      </c>
      <c r="AE16" s="40">
        <v>4.8E-05</v>
      </c>
      <c r="AF16" s="40" t="s">
        <v>175</v>
      </c>
      <c r="AK16" s="40">
        <v>0.00015</v>
      </c>
      <c r="AL16" s="40" t="s">
        <v>175</v>
      </c>
      <c r="AM16" s="40">
        <v>0.0002</v>
      </c>
      <c r="AN16" s="40" t="s">
        <v>175</v>
      </c>
      <c r="AO16" s="40">
        <v>4E-05</v>
      </c>
      <c r="AP16" s="40" t="s">
        <v>175</v>
      </c>
      <c r="AQ16" s="40">
        <v>6.3E-05</v>
      </c>
      <c r="AR16" s="40" t="s">
        <v>175</v>
      </c>
    </row>
    <row r="17" spans="1:48" ht="15">
      <c r="A17" s="40" t="s">
        <v>230</v>
      </c>
      <c r="C17" s="40">
        <v>30500261</v>
      </c>
      <c r="D17" s="40" t="s">
        <v>200</v>
      </c>
      <c r="E17" s="40">
        <v>0.007</v>
      </c>
      <c r="F17" s="40" t="s">
        <v>175</v>
      </c>
      <c r="G17" s="40">
        <v>0.023</v>
      </c>
      <c r="H17" s="40" t="s">
        <v>175</v>
      </c>
      <c r="I17" s="40">
        <v>0.058</v>
      </c>
      <c r="J17" s="40" t="s">
        <v>175</v>
      </c>
      <c r="K17" s="40">
        <v>0.055</v>
      </c>
      <c r="L17" s="40" t="s">
        <v>175</v>
      </c>
      <c r="M17" s="40">
        <v>0.032</v>
      </c>
      <c r="N17" s="40" t="s">
        <v>175</v>
      </c>
      <c r="O17" s="40">
        <v>0.13</v>
      </c>
      <c r="P17" s="40" t="s">
        <v>175</v>
      </c>
      <c r="Q17" s="40">
        <v>0.0013</v>
      </c>
      <c r="R17" s="40" t="s">
        <v>175</v>
      </c>
      <c r="S17" s="40">
        <v>2.6E-05</v>
      </c>
      <c r="T17" s="40" t="s">
        <v>175</v>
      </c>
      <c r="U17" s="40">
        <v>0.00039</v>
      </c>
      <c r="V17" s="40" t="s">
        <v>175</v>
      </c>
      <c r="W17" s="40">
        <v>0.00024</v>
      </c>
      <c r="X17" s="40" t="s">
        <v>175</v>
      </c>
      <c r="Y17" s="40">
        <v>0.0031</v>
      </c>
      <c r="Z17" s="40" t="s">
        <v>175</v>
      </c>
      <c r="AA17" s="40">
        <v>0.00092</v>
      </c>
      <c r="AB17" s="40" t="s">
        <v>175</v>
      </c>
      <c r="AC17" s="40">
        <v>0.00021</v>
      </c>
      <c r="AD17" s="40" t="s">
        <v>175</v>
      </c>
      <c r="AE17" s="40">
        <v>4.8E-05</v>
      </c>
      <c r="AF17" s="40" t="s">
        <v>175</v>
      </c>
      <c r="AG17" s="40">
        <v>0.00013</v>
      </c>
      <c r="AH17" s="40" t="s">
        <v>175</v>
      </c>
      <c r="AI17" s="40">
        <v>0.00016</v>
      </c>
      <c r="AJ17" s="40" t="s">
        <v>175</v>
      </c>
      <c r="AK17" s="40">
        <v>0.0029</v>
      </c>
      <c r="AL17" s="40" t="s">
        <v>175</v>
      </c>
      <c r="AM17" s="40">
        <v>0.0002</v>
      </c>
      <c r="AN17" s="40" t="s">
        <v>175</v>
      </c>
      <c r="AO17" s="40">
        <v>4E-05</v>
      </c>
      <c r="AP17" s="40" t="s">
        <v>175</v>
      </c>
      <c r="AU17" s="40">
        <v>1.5E-05</v>
      </c>
      <c r="AV17" s="40" t="s">
        <v>175</v>
      </c>
    </row>
    <row r="18" spans="1:2" ht="15">
      <c r="A18" s="41" t="s">
        <v>189</v>
      </c>
      <c r="B18" s="41"/>
    </row>
    <row r="19" spans="1:16" ht="15">
      <c r="A19" s="40" t="s">
        <v>216</v>
      </c>
      <c r="B19" s="40" t="s">
        <v>221</v>
      </c>
      <c r="C19" s="40">
        <v>30500208</v>
      </c>
      <c r="D19" s="40" t="s">
        <v>202</v>
      </c>
      <c r="O19" s="40">
        <v>0.0012</v>
      </c>
      <c r="P19" s="40" t="s">
        <v>215</v>
      </c>
    </row>
    <row r="20" spans="1:26" ht="15">
      <c r="A20" s="40" t="s">
        <v>188</v>
      </c>
      <c r="B20" s="40" t="s">
        <v>222</v>
      </c>
      <c r="C20" s="40">
        <v>30500206</v>
      </c>
      <c r="D20" s="40" t="s">
        <v>202</v>
      </c>
      <c r="O20" s="40">
        <v>8.9</v>
      </c>
      <c r="P20" s="40" t="s">
        <v>178</v>
      </c>
      <c r="Y20" s="40">
        <v>0.026</v>
      </c>
      <c r="Z20" s="40" t="s">
        <v>178</v>
      </c>
    </row>
    <row r="21" spans="1:16" ht="15">
      <c r="A21" s="40" t="s">
        <v>254</v>
      </c>
      <c r="B21" s="40" t="s">
        <v>221</v>
      </c>
      <c r="C21" s="40">
        <v>30500208</v>
      </c>
      <c r="D21" s="40" t="s">
        <v>202</v>
      </c>
      <c r="O21" s="40">
        <v>0.0012</v>
      </c>
      <c r="P21" s="40" t="s">
        <v>215</v>
      </c>
    </row>
    <row r="22" ht="15"/>
    <row r="23" spans="1:16" ht="15">
      <c r="A23" s="40" t="s">
        <v>177</v>
      </c>
      <c r="C23" s="40">
        <v>30500213</v>
      </c>
      <c r="D23" s="40" t="s">
        <v>203</v>
      </c>
      <c r="E23" s="40">
        <v>0.000586</v>
      </c>
      <c r="F23" s="40" t="s">
        <v>175</v>
      </c>
      <c r="G23" s="40">
        <v>0.000586</v>
      </c>
      <c r="H23" s="40" t="s">
        <v>175</v>
      </c>
      <c r="M23" s="40">
        <v>0.0122</v>
      </c>
      <c r="N23" s="40" t="s">
        <v>175</v>
      </c>
      <c r="O23" s="40">
        <v>0.00118</v>
      </c>
      <c r="P23" s="40" t="s">
        <v>175</v>
      </c>
    </row>
    <row r="24" spans="1:16" ht="15">
      <c r="A24" s="40" t="s">
        <v>176</v>
      </c>
      <c r="C24" s="40">
        <v>30500214</v>
      </c>
      <c r="D24" s="40" t="s">
        <v>203</v>
      </c>
      <c r="E24" s="40">
        <v>0.000522</v>
      </c>
      <c r="F24" s="40" t="s">
        <v>175</v>
      </c>
      <c r="G24" s="40">
        <v>0.000522</v>
      </c>
      <c r="H24" s="40" t="s">
        <v>175</v>
      </c>
      <c r="M24" s="40">
        <v>0.00416</v>
      </c>
      <c r="N24" s="40" t="s">
        <v>175</v>
      </c>
      <c r="O24" s="40">
        <v>0.00135</v>
      </c>
      <c r="P24" s="40" t="s">
        <v>175</v>
      </c>
    </row>
    <row r="25" spans="1:8" ht="15">
      <c r="A25" s="40" t="s">
        <v>174</v>
      </c>
      <c r="C25" s="40">
        <v>30500204</v>
      </c>
      <c r="D25" s="40" t="s">
        <v>204</v>
      </c>
      <c r="E25" s="40">
        <v>0.00045</v>
      </c>
      <c r="F25" s="40" t="s">
        <v>175</v>
      </c>
      <c r="G25" s="40">
        <v>0.0011</v>
      </c>
      <c r="H25" s="40" t="s">
        <v>175</v>
      </c>
    </row>
    <row r="26" spans="1:8" ht="15">
      <c r="A26" s="40" t="s">
        <v>87</v>
      </c>
      <c r="C26" s="40">
        <v>30500203</v>
      </c>
      <c r="D26" s="40" t="s">
        <v>205</v>
      </c>
      <c r="E26" s="40">
        <v>3.64</v>
      </c>
      <c r="F26" s="40" t="s">
        <v>91</v>
      </c>
      <c r="G26" s="40">
        <v>3.64</v>
      </c>
      <c r="H26" s="40" t="s">
        <v>91</v>
      </c>
    </row>
    <row r="27" ht="15"/>
    <row r="28" spans="1:2" ht="15">
      <c r="A28" s="46" t="s">
        <v>116</v>
      </c>
      <c r="B28" s="46"/>
    </row>
    <row r="29" spans="1:24" ht="15">
      <c r="A29" s="42" t="s">
        <v>55</v>
      </c>
      <c r="B29" s="42"/>
      <c r="C29" s="40">
        <v>30500290</v>
      </c>
      <c r="O29" s="43"/>
      <c r="P29" s="44"/>
      <c r="Q29" s="44"/>
      <c r="R29" s="44"/>
      <c r="S29" s="44"/>
      <c r="T29" s="44"/>
      <c r="U29" s="43"/>
      <c r="V29" s="44"/>
      <c r="W29" s="43"/>
      <c r="X29" s="44"/>
    </row>
    <row r="30" spans="1:24" ht="15">
      <c r="A30" s="117" t="s">
        <v>211</v>
      </c>
      <c r="B30" s="117"/>
      <c r="C30" s="19" t="s">
        <v>154</v>
      </c>
      <c r="D30" s="19"/>
      <c r="E30" s="19"/>
      <c r="F30" s="19"/>
      <c r="G30" s="20"/>
      <c r="H30" s="44"/>
      <c r="I30" s="43"/>
      <c r="J30" s="44"/>
      <c r="K30" s="43"/>
      <c r="L30" s="44"/>
      <c r="O30" s="43"/>
      <c r="P30" s="44"/>
      <c r="Q30" s="44"/>
      <c r="R30" s="44"/>
      <c r="S30" s="44"/>
      <c r="T30" s="44"/>
      <c r="U30" s="43"/>
      <c r="V30" s="44"/>
      <c r="W30" s="43"/>
      <c r="X30" s="44"/>
    </row>
    <row r="31" spans="1:24" ht="15">
      <c r="A31" s="19"/>
      <c r="B31" s="19"/>
      <c r="C31" s="19"/>
      <c r="D31" s="19"/>
      <c r="E31" s="19" t="s">
        <v>76</v>
      </c>
      <c r="F31" s="19"/>
      <c r="I31" s="43"/>
      <c r="J31" s="44"/>
      <c r="K31" s="43"/>
      <c r="L31" s="44"/>
      <c r="O31" s="43"/>
      <c r="P31" s="44"/>
      <c r="Q31" s="44"/>
      <c r="R31" s="44"/>
      <c r="S31" s="44"/>
      <c r="T31" s="44"/>
      <c r="U31" s="43"/>
      <c r="V31" s="44"/>
      <c r="W31" s="43"/>
      <c r="X31" s="44"/>
    </row>
    <row r="32" spans="1:12" ht="15">
      <c r="A32" s="19"/>
      <c r="B32" s="19"/>
      <c r="C32" s="19"/>
      <c r="D32" s="19"/>
      <c r="E32" s="19" t="s">
        <v>77</v>
      </c>
      <c r="F32" s="19"/>
      <c r="I32" s="43"/>
      <c r="J32" s="44"/>
      <c r="K32" s="43"/>
      <c r="L32" s="44"/>
    </row>
    <row r="33" spans="1:6" ht="15">
      <c r="A33" s="19"/>
      <c r="B33" s="19"/>
      <c r="C33" s="19"/>
      <c r="D33" s="19"/>
      <c r="E33" s="19" t="s">
        <v>78</v>
      </c>
      <c r="F33" s="19"/>
    </row>
    <row r="34" spans="1:6" ht="15">
      <c r="A34" s="19"/>
      <c r="B34" s="19"/>
      <c r="C34" s="19"/>
      <c r="D34" s="19"/>
      <c r="E34" s="24" t="s">
        <v>130</v>
      </c>
      <c r="F34" s="19"/>
    </row>
    <row r="35" spans="1:8" ht="15">
      <c r="A35" s="19" t="s">
        <v>152</v>
      </c>
      <c r="B35" s="19"/>
      <c r="C35" s="19">
        <v>30500290</v>
      </c>
      <c r="D35" s="19"/>
      <c r="F35" s="19"/>
      <c r="H35" s="24"/>
    </row>
    <row r="36" spans="1:8" ht="15">
      <c r="A36" s="117" t="s">
        <v>211</v>
      </c>
      <c r="B36" s="117"/>
      <c r="C36" s="19" t="s">
        <v>155</v>
      </c>
      <c r="D36" s="19"/>
      <c r="F36" s="19"/>
      <c r="H36" s="24"/>
    </row>
    <row r="37" spans="1:6" ht="15">
      <c r="A37" s="19"/>
      <c r="B37" s="19"/>
      <c r="C37" s="19"/>
      <c r="D37" s="19"/>
      <c r="E37" s="19" t="s">
        <v>156</v>
      </c>
      <c r="F37" s="19"/>
    </row>
    <row r="38" spans="1:6" ht="15">
      <c r="A38" s="19"/>
      <c r="B38" s="19"/>
      <c r="C38" s="19"/>
      <c r="D38" s="19"/>
      <c r="E38" s="19" t="s">
        <v>157</v>
      </c>
      <c r="F38" s="19"/>
    </row>
    <row r="39" spans="1:6" ht="15">
      <c r="A39" s="19"/>
      <c r="B39" s="19"/>
      <c r="C39" s="19"/>
      <c r="D39" s="19"/>
      <c r="E39" s="19" t="s">
        <v>78</v>
      </c>
      <c r="F39" s="19"/>
    </row>
    <row r="40" spans="1:6" ht="15">
      <c r="A40" s="19"/>
      <c r="B40" s="19"/>
      <c r="C40" s="19"/>
      <c r="D40" s="19"/>
      <c r="E40" s="24" t="s">
        <v>130</v>
      </c>
      <c r="F40" s="19"/>
    </row>
    <row r="41" spans="1:8" ht="15">
      <c r="A41" s="19"/>
      <c r="B41" s="19"/>
      <c r="C41" s="19"/>
      <c r="D41" s="19"/>
      <c r="F41" s="19"/>
      <c r="H41" s="24"/>
    </row>
    <row r="42" spans="1:2" ht="15">
      <c r="A42" s="41" t="s">
        <v>93</v>
      </c>
      <c r="B42" s="41"/>
    </row>
    <row r="43" spans="1:24" ht="15">
      <c r="A43" s="39" t="s">
        <v>8</v>
      </c>
      <c r="B43" s="39"/>
      <c r="C43" s="39" t="s">
        <v>16</v>
      </c>
      <c r="D43" s="39" t="s">
        <v>10</v>
      </c>
      <c r="E43" s="39" t="s">
        <v>89</v>
      </c>
      <c r="F43" s="39" t="s">
        <v>98</v>
      </c>
      <c r="G43" s="39" t="s">
        <v>90</v>
      </c>
      <c r="H43" s="39" t="s">
        <v>98</v>
      </c>
      <c r="I43" s="39" t="s">
        <v>11</v>
      </c>
      <c r="J43" s="39" t="s">
        <v>100</v>
      </c>
      <c r="K43" s="39" t="s">
        <v>12</v>
      </c>
      <c r="L43" s="39" t="s">
        <v>98</v>
      </c>
      <c r="M43" s="39" t="s">
        <v>13</v>
      </c>
      <c r="N43" s="39" t="s">
        <v>98</v>
      </c>
      <c r="O43" s="39" t="s">
        <v>14</v>
      </c>
      <c r="P43" s="39" t="s">
        <v>98</v>
      </c>
      <c r="Q43" s="39"/>
      <c r="R43" s="39"/>
      <c r="S43" s="39"/>
      <c r="T43" s="39"/>
      <c r="U43" s="39" t="s">
        <v>15</v>
      </c>
      <c r="V43" s="39" t="s">
        <v>98</v>
      </c>
      <c r="W43" s="39" t="s">
        <v>104</v>
      </c>
      <c r="X43" s="39" t="s">
        <v>98</v>
      </c>
    </row>
    <row r="44" spans="1:24" ht="15">
      <c r="A44" s="40" t="s">
        <v>133</v>
      </c>
      <c r="C44" s="40">
        <v>20200102</v>
      </c>
      <c r="D44" s="40" t="s">
        <v>96</v>
      </c>
      <c r="E44" s="40">
        <v>0.31</v>
      </c>
      <c r="F44" s="40" t="s">
        <v>99</v>
      </c>
      <c r="G44" s="40">
        <v>0.31</v>
      </c>
      <c r="H44" s="40" t="s">
        <v>99</v>
      </c>
      <c r="I44" s="40">
        <v>0.29</v>
      </c>
      <c r="J44" s="40" t="s">
        <v>99</v>
      </c>
      <c r="K44" s="40">
        <v>4.41</v>
      </c>
      <c r="L44" s="40" t="s">
        <v>99</v>
      </c>
      <c r="M44" s="40">
        <v>0.35</v>
      </c>
      <c r="N44" s="40" t="s">
        <v>99</v>
      </c>
      <c r="O44" s="40">
        <v>0.95</v>
      </c>
      <c r="P44" s="40" t="s">
        <v>99</v>
      </c>
      <c r="U44" s="40">
        <v>0.00118</v>
      </c>
      <c r="V44" s="40" t="s">
        <v>101</v>
      </c>
      <c r="W44" s="40">
        <v>0.000933</v>
      </c>
      <c r="X44" s="40" t="s">
        <v>101</v>
      </c>
    </row>
    <row r="45" spans="1:24" ht="15">
      <c r="A45" s="40" t="s">
        <v>134</v>
      </c>
      <c r="C45" s="40">
        <v>20200401</v>
      </c>
      <c r="D45" s="40" t="s">
        <v>96</v>
      </c>
      <c r="E45" s="40">
        <v>0.0539</v>
      </c>
      <c r="F45" s="40" t="s">
        <v>105</v>
      </c>
      <c r="G45" s="40">
        <v>0.14</v>
      </c>
      <c r="H45" s="40" t="s">
        <v>97</v>
      </c>
      <c r="I45" s="40">
        <v>1.01</v>
      </c>
      <c r="J45" s="40" t="s">
        <v>102</v>
      </c>
      <c r="K45" s="40">
        <v>3.2</v>
      </c>
      <c r="L45" s="40" t="s">
        <v>102</v>
      </c>
      <c r="M45" s="40">
        <v>0.082</v>
      </c>
      <c r="N45" s="40" t="s">
        <v>102</v>
      </c>
      <c r="O45" s="40">
        <v>0.85</v>
      </c>
      <c r="P45" s="40" t="s">
        <v>102</v>
      </c>
      <c r="U45" s="40">
        <v>7.89E-05</v>
      </c>
      <c r="V45" s="40" t="s">
        <v>103</v>
      </c>
      <c r="W45" s="40">
        <v>0.000776</v>
      </c>
      <c r="X45" s="40" t="s">
        <v>103</v>
      </c>
    </row>
    <row r="46" ht="15">
      <c r="N46" s="51" t="s">
        <v>131</v>
      </c>
    </row>
    <row r="47" ht="15"/>
    <row r="48" ht="15"/>
  </sheetData>
  <sheetProtection password="EBF3" sheet="1"/>
  <mergeCells count="3">
    <mergeCell ref="AS3:AT3"/>
    <mergeCell ref="AU3:AV3"/>
    <mergeCell ref="AW3:AX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IWRC University of Northern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Wittenburg</dc:creator>
  <cp:keywords/>
  <dc:description/>
  <cp:lastModifiedBy>Jennifer Wittenburg</cp:lastModifiedBy>
  <dcterms:created xsi:type="dcterms:W3CDTF">2011-11-02T19:41:52Z</dcterms:created>
  <dcterms:modified xsi:type="dcterms:W3CDTF">2016-01-12T18:04:27Z</dcterms:modified>
  <cp:category/>
  <cp:version/>
  <cp:contentType/>
  <cp:contentStatus/>
</cp:coreProperties>
</file>